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ATS Activity\ASSET TRANSFER REQUESTS\22-23-05NWIP Longrigg\"/>
    </mc:Choice>
  </mc:AlternateContent>
  <xr:revisionPtr revIDLastSave="0" documentId="8_{6FCDB14F-E956-4D84-A061-ECFA42453B9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Year 1" sheetId="1" r:id="rId1"/>
    <sheet name="Year 2" sheetId="2" r:id="rId2"/>
    <sheet name="Year 3" sheetId="3" r:id="rId3"/>
    <sheet name="Year 4" sheetId="4" r:id="rId4"/>
    <sheet name="Year 5" sheetId="5" r:id="rId5"/>
    <sheet name="Graphs" sheetId="26" r:id="rId6"/>
    <sheet name="P&amp;L" sheetId="27" r:id="rId7"/>
    <sheet name="Mensurational data" sheetId="28" r:id="rId8"/>
    <sheet name="Restocking" sheetId="29" r:id="rId9"/>
    <sheet name="Assumptions" sheetId="30" r:id="rId10"/>
    <sheet name="Sheet1" sheetId="31" r:id="rId11"/>
  </sheets>
  <definedNames>
    <definedName name="_xlnm.Print_Area" localSheetId="0">'Year 1'!$A$1:$O$26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C12" i="5"/>
  <c r="N18" i="4"/>
  <c r="N21" i="2"/>
  <c r="N25" i="1"/>
  <c r="N18" i="5"/>
  <c r="K4" i="5" l="1"/>
  <c r="K4" i="4"/>
  <c r="B5" i="29"/>
  <c r="C7" i="29" s="1"/>
  <c r="E7" i="29" s="1"/>
  <c r="K4" i="2"/>
  <c r="C4" i="2" s="1"/>
  <c r="N22" i="2"/>
  <c r="P17" i="28"/>
  <c r="D32" i="28"/>
  <c r="D31" i="28"/>
  <c r="D26" i="28"/>
  <c r="D25" i="28"/>
  <c r="D24" i="28"/>
  <c r="D11" i="28"/>
  <c r="D10" i="28"/>
  <c r="C13" i="2"/>
  <c r="E5" i="2"/>
  <c r="F5" i="2"/>
  <c r="G5" i="2"/>
  <c r="H5" i="2"/>
  <c r="I5" i="2"/>
  <c r="J5" i="2"/>
  <c r="L5" i="2"/>
  <c r="M5" i="2"/>
  <c r="N5" i="2"/>
  <c r="O5" i="2"/>
  <c r="D5" i="2"/>
  <c r="C9" i="29"/>
  <c r="C11" i="2"/>
  <c r="C4" i="3"/>
  <c r="F8" i="1"/>
  <c r="J8" i="1"/>
  <c r="K6" i="1"/>
  <c r="K5" i="1"/>
  <c r="K4" i="1"/>
  <c r="I18" i="28"/>
  <c r="I19" i="28"/>
  <c r="I17" i="28"/>
  <c r="I20" i="28" s="1"/>
  <c r="H20" i="28"/>
  <c r="H18" i="28"/>
  <c r="H19" i="28"/>
  <c r="H17" i="28"/>
  <c r="G20" i="28"/>
  <c r="G18" i="28"/>
  <c r="G19" i="28"/>
  <c r="G17" i="28"/>
  <c r="E18" i="28"/>
  <c r="E17" i="28"/>
  <c r="D12" i="28"/>
  <c r="K5" i="2" l="1"/>
  <c r="C5" i="2"/>
  <c r="K8" i="1"/>
  <c r="E22" i="2" l="1"/>
  <c r="N26" i="1"/>
  <c r="E19" i="1" l="1"/>
  <c r="F19" i="1"/>
  <c r="G19" i="1"/>
  <c r="H19" i="1"/>
  <c r="I19" i="1"/>
  <c r="J19" i="1"/>
  <c r="K19" i="1"/>
  <c r="L19" i="1"/>
  <c r="M19" i="1"/>
  <c r="N19" i="1"/>
  <c r="D19" i="1"/>
  <c r="C12" i="1"/>
  <c r="C11" i="1"/>
  <c r="C4" i="5" l="1"/>
  <c r="E12" i="4"/>
  <c r="F12" i="4"/>
  <c r="G12" i="4"/>
  <c r="H12" i="4"/>
  <c r="I12" i="4"/>
  <c r="J12" i="4"/>
  <c r="L12" i="4"/>
  <c r="M12" i="4"/>
  <c r="N12" i="4"/>
  <c r="C10" i="4"/>
  <c r="C11" i="4"/>
  <c r="C4" i="4"/>
  <c r="E12" i="3"/>
  <c r="F12" i="3"/>
  <c r="G12" i="3"/>
  <c r="H12" i="3"/>
  <c r="I12" i="3"/>
  <c r="J12" i="3"/>
  <c r="L12" i="3"/>
  <c r="M12" i="3"/>
  <c r="N12" i="3"/>
  <c r="O12" i="3"/>
  <c r="C10" i="3"/>
  <c r="C11" i="3"/>
  <c r="E15" i="2"/>
  <c r="F15" i="2"/>
  <c r="G15" i="2"/>
  <c r="H15" i="2"/>
  <c r="I15" i="2"/>
  <c r="J15" i="2"/>
  <c r="L15" i="2"/>
  <c r="M15" i="2"/>
  <c r="N15" i="2"/>
  <c r="C14" i="2"/>
  <c r="C18" i="5"/>
  <c r="C18" i="4"/>
  <c r="C18" i="3"/>
  <c r="C26" i="1"/>
  <c r="C8" i="27" l="1"/>
  <c r="E8" i="27"/>
  <c r="D8" i="27"/>
  <c r="C8" i="29" l="1"/>
  <c r="G7" i="29"/>
  <c r="K31" i="28"/>
  <c r="H5" i="28"/>
  <c r="K32" i="28" s="1"/>
  <c r="L32" i="28" s="1"/>
  <c r="M32" i="28" s="1"/>
  <c r="H4" i="28"/>
  <c r="J3" i="28"/>
  <c r="H3" i="28"/>
  <c r="N12" i="5"/>
  <c r="M12" i="5"/>
  <c r="L12" i="5"/>
  <c r="J12" i="5"/>
  <c r="I12" i="5"/>
  <c r="H12" i="5"/>
  <c r="G12" i="5"/>
  <c r="F12" i="5"/>
  <c r="E12" i="5"/>
  <c r="D12" i="5"/>
  <c r="C11" i="5"/>
  <c r="C10" i="5"/>
  <c r="J5" i="5"/>
  <c r="O5" i="5"/>
  <c r="L5" i="5"/>
  <c r="G5" i="5"/>
  <c r="F5" i="5"/>
  <c r="D12" i="4"/>
  <c r="J5" i="4"/>
  <c r="H5" i="4"/>
  <c r="O5" i="4"/>
  <c r="M5" i="4"/>
  <c r="I5" i="4"/>
  <c r="E5" i="4"/>
  <c r="D5" i="4"/>
  <c r="D12" i="3"/>
  <c r="K5" i="3"/>
  <c r="J5" i="3"/>
  <c r="O5" i="3"/>
  <c r="M5" i="3"/>
  <c r="I5" i="3"/>
  <c r="E5" i="3"/>
  <c r="D15" i="2"/>
  <c r="C8" i="2"/>
  <c r="C18" i="1"/>
  <c r="C17" i="1"/>
  <c r="C15" i="1"/>
  <c r="C14" i="1"/>
  <c r="C13" i="1"/>
  <c r="C7" i="1"/>
  <c r="O6" i="1"/>
  <c r="O8" i="1" s="1"/>
  <c r="N6" i="1"/>
  <c r="N8" i="1" s="1"/>
  <c r="M6" i="1"/>
  <c r="M8" i="1" s="1"/>
  <c r="L6" i="1"/>
  <c r="L8" i="1" s="1"/>
  <c r="I6" i="1"/>
  <c r="I8" i="1" s="1"/>
  <c r="H6" i="1"/>
  <c r="H8" i="1" s="1"/>
  <c r="G6" i="1"/>
  <c r="G8" i="1" s="1"/>
  <c r="E8" i="1"/>
  <c r="D6" i="1"/>
  <c r="D8" i="1" s="1"/>
  <c r="E26" i="28" l="1"/>
  <c r="F26" i="28" s="1"/>
  <c r="J5" i="28"/>
  <c r="K33" i="28"/>
  <c r="L33" i="28" s="1"/>
  <c r="M33" i="28" s="1"/>
  <c r="G10" i="29"/>
  <c r="O10" i="2" s="1"/>
  <c r="H5" i="5"/>
  <c r="H13" i="5" s="1"/>
  <c r="I5" i="5"/>
  <c r="I13" i="5" s="1"/>
  <c r="F8" i="27"/>
  <c r="F5" i="4"/>
  <c r="F13" i="4" s="1"/>
  <c r="N5" i="4"/>
  <c r="N13" i="4" s="1"/>
  <c r="L5" i="4"/>
  <c r="L13" i="4" s="1"/>
  <c r="G5" i="4"/>
  <c r="G13" i="4" s="1"/>
  <c r="D16" i="2"/>
  <c r="M16" i="2"/>
  <c r="E16" i="2"/>
  <c r="I16" i="2"/>
  <c r="N16" i="2"/>
  <c r="L16" i="2"/>
  <c r="G5" i="3"/>
  <c r="G13" i="3" s="1"/>
  <c r="D5" i="3"/>
  <c r="D13" i="3" s="1"/>
  <c r="H5" i="3"/>
  <c r="H13" i="3" s="1"/>
  <c r="N5" i="3"/>
  <c r="N13" i="3" s="1"/>
  <c r="F5" i="3"/>
  <c r="F13" i="3" s="1"/>
  <c r="L5" i="3"/>
  <c r="L13" i="3" s="1"/>
  <c r="J16" i="2"/>
  <c r="M20" i="1"/>
  <c r="H20" i="1"/>
  <c r="B8" i="27"/>
  <c r="D20" i="1"/>
  <c r="D22" i="1" s="1"/>
  <c r="E20" i="1"/>
  <c r="F20" i="1"/>
  <c r="I20" i="1"/>
  <c r="G20" i="1"/>
  <c r="M5" i="5"/>
  <c r="M13" i="5" s="1"/>
  <c r="N5" i="5"/>
  <c r="N13" i="5" s="1"/>
  <c r="E5" i="5"/>
  <c r="E13" i="5" s="1"/>
  <c r="F13" i="5"/>
  <c r="L20" i="1"/>
  <c r="J20" i="1"/>
  <c r="N20" i="1"/>
  <c r="G13" i="5"/>
  <c r="D5" i="5"/>
  <c r="D13" i="5" s="1"/>
  <c r="J13" i="5"/>
  <c r="L13" i="5"/>
  <c r="M13" i="4"/>
  <c r="H13" i="4"/>
  <c r="J13" i="4"/>
  <c r="E13" i="4"/>
  <c r="I13" i="4"/>
  <c r="E13" i="3"/>
  <c r="I13" i="3"/>
  <c r="M13" i="3"/>
  <c r="J13" i="3"/>
  <c r="O13" i="3"/>
  <c r="F16" i="2"/>
  <c r="G16" i="2"/>
  <c r="H16" i="2"/>
  <c r="D33" i="28"/>
  <c r="E33" i="28" s="1"/>
  <c r="F33" i="28" s="1"/>
  <c r="E32" i="28"/>
  <c r="F32" i="28" s="1"/>
  <c r="L31" i="28"/>
  <c r="O19" i="1"/>
  <c r="P18" i="28"/>
  <c r="Q18" i="28" s="1"/>
  <c r="R18" i="28" s="1"/>
  <c r="J4" i="28"/>
  <c r="P19" i="28"/>
  <c r="Q19" i="28" s="1"/>
  <c r="R19" i="28" s="1"/>
  <c r="E24" i="28"/>
  <c r="J6" i="28"/>
  <c r="E25" i="28"/>
  <c r="F25" i="28" s="1"/>
  <c r="C10" i="2" l="1"/>
  <c r="E19" i="3"/>
  <c r="G8" i="27"/>
  <c r="K34" i="28"/>
  <c r="O12" i="4"/>
  <c r="O13" i="4" s="1"/>
  <c r="C5" i="3"/>
  <c r="D4" i="27" s="1"/>
  <c r="M31" i="28"/>
  <c r="L34" i="28"/>
  <c r="D13" i="4"/>
  <c r="B2" i="26"/>
  <c r="E21" i="1"/>
  <c r="E22" i="1" s="1"/>
  <c r="E31" i="28"/>
  <c r="D34" i="28"/>
  <c r="F24" i="28"/>
  <c r="E27" i="28"/>
  <c r="P20" i="28"/>
  <c r="Q17" i="28"/>
  <c r="E12" i="28"/>
  <c r="F12" i="28" s="1"/>
  <c r="E11" i="28"/>
  <c r="F11" i="28" s="1"/>
  <c r="C22" i="2"/>
  <c r="N19" i="4"/>
  <c r="C19" i="4" s="1"/>
  <c r="N19" i="3"/>
  <c r="B6" i="27"/>
  <c r="N19" i="5"/>
  <c r="C19" i="5" s="1"/>
  <c r="D27" i="28"/>
  <c r="E19" i="28"/>
  <c r="F19" i="28" s="1"/>
  <c r="F18" i="28"/>
  <c r="C19" i="3" l="1"/>
  <c r="C5" i="1"/>
  <c r="C4" i="1"/>
  <c r="B10" i="27"/>
  <c r="O15" i="2"/>
  <c r="O16" i="2" s="1"/>
  <c r="C9" i="2"/>
  <c r="C6" i="27" s="1"/>
  <c r="C10" i="27" s="1"/>
  <c r="K15" i="2"/>
  <c r="K12" i="3"/>
  <c r="C8" i="3"/>
  <c r="D6" i="27" s="1"/>
  <c r="K12" i="4"/>
  <c r="C12" i="4" s="1"/>
  <c r="C8" i="4"/>
  <c r="E6" i="27" s="1"/>
  <c r="C2" i="26"/>
  <c r="F21" i="1"/>
  <c r="F22" i="1" s="1"/>
  <c r="D13" i="28"/>
  <c r="E10" i="28"/>
  <c r="O12" i="5"/>
  <c r="O13" i="5" s="1"/>
  <c r="M34" i="28"/>
  <c r="F17" i="28"/>
  <c r="E20" i="28"/>
  <c r="K12" i="5"/>
  <c r="C8" i="5"/>
  <c r="O20" i="1"/>
  <c r="C19" i="1"/>
  <c r="R17" i="28"/>
  <c r="Q20" i="28"/>
  <c r="F27" i="28"/>
  <c r="E34" i="28"/>
  <c r="F31" i="28"/>
  <c r="F34" i="28" s="1"/>
  <c r="F10" i="27" l="1"/>
  <c r="E10" i="27"/>
  <c r="D10" i="27"/>
  <c r="D12" i="27" s="1"/>
  <c r="F6" i="27"/>
  <c r="G6" i="27" s="1"/>
  <c r="K5" i="5"/>
  <c r="F10" i="28"/>
  <c r="F13" i="28" s="1"/>
  <c r="E13" i="28"/>
  <c r="D2" i="26"/>
  <c r="G21" i="1"/>
  <c r="G22" i="1" s="1"/>
  <c r="F20" i="28"/>
  <c r="C15" i="2"/>
  <c r="R20" i="28"/>
  <c r="C12" i="3"/>
  <c r="K13" i="3"/>
  <c r="C25" i="1" l="1"/>
  <c r="G10" i="27"/>
  <c r="K5" i="4"/>
  <c r="E2" i="26"/>
  <c r="H21" i="1"/>
  <c r="H22" i="1" s="1"/>
  <c r="C13" i="3"/>
  <c r="K13" i="5"/>
  <c r="C5" i="5"/>
  <c r="C8" i="1" l="1"/>
  <c r="C6" i="1"/>
  <c r="F2" i="26"/>
  <c r="I21" i="1"/>
  <c r="I22" i="1" s="1"/>
  <c r="F4" i="27"/>
  <c r="K20" i="1"/>
  <c r="K13" i="4"/>
  <c r="C5" i="4"/>
  <c r="C21" i="2" l="1"/>
  <c r="K16" i="2"/>
  <c r="F12" i="27"/>
  <c r="C13" i="4"/>
  <c r="E4" i="27"/>
  <c r="E12" i="27" s="1"/>
  <c r="B4" i="27"/>
  <c r="B12" i="27" s="1"/>
  <c r="C20" i="1"/>
  <c r="G2" i="26"/>
  <c r="J21" i="1"/>
  <c r="J22" i="1" s="1"/>
  <c r="C4" i="27" l="1"/>
  <c r="C12" i="27" s="1"/>
  <c r="G12" i="27" s="1"/>
  <c r="C16" i="2"/>
  <c r="H2" i="26"/>
  <c r="K21" i="1"/>
  <c r="K22" i="1" s="1"/>
  <c r="G4" i="27" l="1"/>
  <c r="I2" i="26"/>
  <c r="L21" i="1"/>
  <c r="L22" i="1" s="1"/>
  <c r="J2" i="26" l="1"/>
  <c r="M21" i="1"/>
  <c r="M22" i="1" s="1"/>
  <c r="K2" i="26" l="1"/>
  <c r="N21" i="1"/>
  <c r="N22" i="1" s="1"/>
  <c r="L2" i="26" l="1"/>
  <c r="O21" i="1"/>
  <c r="O22" i="1" s="1"/>
  <c r="M2" i="26" l="1"/>
  <c r="D17" i="2"/>
  <c r="C22" i="1"/>
  <c r="N2" i="26" l="1"/>
  <c r="D18" i="2"/>
  <c r="E17" i="2" s="1"/>
  <c r="O2" i="26" l="1"/>
  <c r="E18" i="2"/>
  <c r="F17" i="2" s="1"/>
  <c r="P2" i="26" l="1"/>
  <c r="F18" i="2"/>
  <c r="G17" i="2" s="1"/>
  <c r="Q2" i="26" l="1"/>
  <c r="G18" i="2"/>
  <c r="H17" i="2" s="1"/>
  <c r="R2" i="26" l="1"/>
  <c r="H18" i="2"/>
  <c r="I17" i="2" s="1"/>
  <c r="S2" i="26" l="1"/>
  <c r="I18" i="2"/>
  <c r="J17" i="2" s="1"/>
  <c r="T2" i="26" l="1"/>
  <c r="J18" i="2"/>
  <c r="K17" i="2" s="1"/>
  <c r="U2" i="26" l="1"/>
  <c r="K18" i="2"/>
  <c r="L17" i="2" s="1"/>
  <c r="V2" i="26" l="1"/>
  <c r="L18" i="2"/>
  <c r="M17" i="2" s="1"/>
  <c r="W2" i="26" l="1"/>
  <c r="M18" i="2"/>
  <c r="N17" i="2" s="1"/>
  <c r="X2" i="26" l="1"/>
  <c r="N18" i="2"/>
  <c r="O17" i="2" s="1"/>
  <c r="Y2" i="26" l="1"/>
  <c r="O18" i="2"/>
  <c r="D14" i="3" l="1"/>
  <c r="C18" i="2"/>
  <c r="Z2" i="26" l="1"/>
  <c r="D15" i="3"/>
  <c r="E14" i="3" s="1"/>
  <c r="AA2" i="26" l="1"/>
  <c r="E15" i="3"/>
  <c r="F14" i="3" s="1"/>
  <c r="AB2" i="26" l="1"/>
  <c r="F15" i="3"/>
  <c r="G14" i="3" s="1"/>
  <c r="AC2" i="26" l="1"/>
  <c r="G15" i="3"/>
  <c r="H14" i="3" s="1"/>
  <c r="AD2" i="26" l="1"/>
  <c r="H15" i="3"/>
  <c r="I14" i="3" s="1"/>
  <c r="AE2" i="26" l="1"/>
  <c r="I15" i="3"/>
  <c r="J14" i="3" s="1"/>
  <c r="AF2" i="26" l="1"/>
  <c r="J15" i="3"/>
  <c r="K14" i="3" s="1"/>
  <c r="AG2" i="26" l="1"/>
  <c r="K15" i="3"/>
  <c r="L14" i="3" s="1"/>
  <c r="AH2" i="26" l="1"/>
  <c r="L15" i="3"/>
  <c r="M14" i="3" s="1"/>
  <c r="AI2" i="26" l="1"/>
  <c r="M15" i="3"/>
  <c r="N14" i="3" s="1"/>
  <c r="AJ2" i="26" l="1"/>
  <c r="N15" i="3"/>
  <c r="O14" i="3" s="1"/>
  <c r="AK2" i="26" l="1"/>
  <c r="O15" i="3"/>
  <c r="D14" i="4" l="1"/>
  <c r="C15" i="3"/>
  <c r="AL2" i="26" l="1"/>
  <c r="D15" i="4"/>
  <c r="E14" i="4" s="1"/>
  <c r="AM2" i="26" l="1"/>
  <c r="E15" i="4"/>
  <c r="F14" i="4" s="1"/>
  <c r="AN2" i="26" l="1"/>
  <c r="F15" i="4"/>
  <c r="G14" i="4" s="1"/>
  <c r="AO2" i="26" l="1"/>
  <c r="G15" i="4"/>
  <c r="H14" i="4" s="1"/>
  <c r="AP2" i="26" l="1"/>
  <c r="H15" i="4"/>
  <c r="I14" i="4" s="1"/>
  <c r="AQ2" i="26" l="1"/>
  <c r="I15" i="4"/>
  <c r="J14" i="4" s="1"/>
  <c r="AR2" i="26" l="1"/>
  <c r="J15" i="4"/>
  <c r="K14" i="4" s="1"/>
  <c r="AS2" i="26" l="1"/>
  <c r="K15" i="4"/>
  <c r="L14" i="4" s="1"/>
  <c r="AT2" i="26" l="1"/>
  <c r="L15" i="4"/>
  <c r="M14" i="4" s="1"/>
  <c r="AU2" i="26" l="1"/>
  <c r="M15" i="4"/>
  <c r="N14" i="4" s="1"/>
  <c r="AV2" i="26" l="1"/>
  <c r="N15" i="4"/>
  <c r="O14" i="4" s="1"/>
  <c r="AW2" i="26" l="1"/>
  <c r="O15" i="4"/>
  <c r="C15" i="4" l="1"/>
  <c r="D14" i="5"/>
  <c r="AX2" i="26" l="1"/>
  <c r="D15" i="5"/>
  <c r="E14" i="5" s="1"/>
  <c r="AY2" i="26" l="1"/>
  <c r="E15" i="5"/>
  <c r="F14" i="5" s="1"/>
  <c r="AZ2" i="26" l="1"/>
  <c r="F15" i="5"/>
  <c r="G14" i="5" s="1"/>
  <c r="BA2" i="26" l="1"/>
  <c r="G15" i="5"/>
  <c r="H14" i="5" s="1"/>
  <c r="BB2" i="26" l="1"/>
  <c r="H15" i="5"/>
  <c r="I14" i="5" s="1"/>
  <c r="BC2" i="26" l="1"/>
  <c r="I15" i="5"/>
  <c r="J14" i="5" s="1"/>
  <c r="BD2" i="26" l="1"/>
  <c r="J15" i="5"/>
  <c r="K14" i="5" s="1"/>
  <c r="BE2" i="26" l="1"/>
  <c r="K15" i="5"/>
  <c r="L14" i="5" s="1"/>
  <c r="BF2" i="26" l="1"/>
  <c r="L15" i="5"/>
  <c r="M14" i="5" s="1"/>
  <c r="BG2" i="26" l="1"/>
  <c r="M15" i="5"/>
  <c r="N14" i="5" s="1"/>
  <c r="BH2" i="26" l="1"/>
  <c r="N15" i="5"/>
  <c r="O14" i="5" s="1"/>
  <c r="BI2" i="26" l="1"/>
  <c r="O15" i="5"/>
  <c r="C1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1" authorId="0" shapeId="0" xr:uid="{00000000-0006-0000-0000-000005000000}">
      <text>
        <r>
          <rPr>
            <sz val="11"/>
            <color rgb="FF000000"/>
            <rFont val="Calibri"/>
          </rPr>
          <t>Will Richardson:
Insert opening bank balance</t>
        </r>
      </text>
    </comment>
  </commentList>
</comments>
</file>

<file path=xl/sharedStrings.xml><?xml version="1.0" encoding="utf-8"?>
<sst xmlns="http://schemas.openxmlformats.org/spreadsheetml/2006/main" count="494" uniqueCount="149">
  <si>
    <t>Unit</t>
  </si>
  <si>
    <t>Total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</si>
  <si>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</si>
  <si>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</si>
  <si>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</si>
  <si>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</si>
  <si>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</si>
  <si>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</si>
  <si>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</si>
  <si>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</si>
  <si>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</si>
  <si>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</si>
  <si>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</si>
  <si>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</si>
  <si>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RECEIPTS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</si>
  <si>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</si>
  <si>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</si>
  <si>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</si>
  <si>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</si>
  <si>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</si>
  <si>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</si>
  <si>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</si>
  <si>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</si>
  <si>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</si>
  <si>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</si>
  <si>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</si>
  <si>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</si>
  <si>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FGS - long term plan production</t>
  </si>
  <si>
    <t>TOTAL RECEIPTS</t>
  </si>
  <si>
    <t>PAYMENTS</t>
  </si>
  <si>
    <t>Direct Costs</t>
  </si>
  <si>
    <t>Access track - from Longrigg Road to new turning/stacking area in wood and woodlots.</t>
  </si>
  <si>
    <t>Turning and timber stacking area in woodland</t>
  </si>
  <si>
    <t>Replanting</t>
  </si>
  <si>
    <t>Site prep - scarifying</t>
  </si>
  <si>
    <t>Fence repairs</t>
  </si>
  <si>
    <t xml:space="preserve">Maintenance </t>
  </si>
  <si>
    <t>Indirect costs</t>
  </si>
  <si>
    <t>Professional fees</t>
  </si>
  <si>
    <t>Insurance</t>
  </si>
  <si>
    <t>TOTAL PAYMENTS</t>
  </si>
  <si>
    <t>NET CASH FLOW</t>
  </si>
  <si>
    <t>OPENING BALANCE</t>
  </si>
  <si>
    <t>CLOSING BALANCE</t>
  </si>
  <si>
    <t xml:space="preserve">
</t>
  </si>
  <si>
    <t>Year 1</t>
  </si>
  <si>
    <t>Year 2</t>
  </si>
  <si>
    <t>Year 3</t>
  </si>
  <si>
    <t>Year 4</t>
  </si>
  <si>
    <t>Year 5</t>
  </si>
  <si>
    <t>Sales</t>
  </si>
  <si>
    <t>Capital purchases</t>
  </si>
  <si>
    <t xml:space="preserve">Cost of sales </t>
  </si>
  <si>
    <t>Depreciation</t>
  </si>
  <si>
    <t>Profit (-Loss)</t>
  </si>
  <si>
    <t>Mensurational data</t>
  </si>
  <si>
    <t>Species</t>
  </si>
  <si>
    <t>Area (from FC stocking map)</t>
  </si>
  <si>
    <t>Stocking density (tree/ha)</t>
  </si>
  <si>
    <t xml:space="preserve"> Ave dbh (cm)</t>
  </si>
  <si>
    <t>Ave top height (m)</t>
  </si>
  <si>
    <t>Ave tariff #</t>
  </si>
  <si>
    <t>Ave tree volume (m3)</t>
  </si>
  <si>
    <t>Standing volume (m3/ha overbark)</t>
  </si>
  <si>
    <t>% windblown</t>
  </si>
  <si>
    <t>Total standing volume (m3 overbark)</t>
  </si>
  <si>
    <t>Pine</t>
  </si>
  <si>
    <t xml:space="preserve">Spruce </t>
  </si>
  <si>
    <t>Larch</t>
  </si>
  <si>
    <t>Timber values</t>
  </si>
  <si>
    <t>Product (ave across all species)</t>
  </si>
  <si>
    <t>£/t</t>
  </si>
  <si>
    <t>% of standing volume in woodland</t>
  </si>
  <si>
    <t>Total volume</t>
  </si>
  <si>
    <t>Convert to tonnes (1 tonne = 1.2 m3 of timber overbark)</t>
  </si>
  <si>
    <t>Total value</t>
  </si>
  <si>
    <t>Chipwood</t>
  </si>
  <si>
    <t>Fencing product or bars</t>
  </si>
  <si>
    <t>Sawlogs</t>
  </si>
  <si>
    <t>Spruce - clearfell option</t>
  </si>
  <si>
    <t>Spruce - small block felling - 2.5ha per block</t>
  </si>
  <si>
    <t>Product</t>
  </si>
  <si>
    <t>Volume from 2.5ha blocks</t>
  </si>
  <si>
    <t>Block felling</t>
  </si>
  <si>
    <t xml:space="preserve">Product </t>
  </si>
  <si>
    <t>Item</t>
  </si>
  <si>
    <t>Description</t>
  </si>
  <si>
    <t>Harvested timber</t>
  </si>
  <si>
    <t>Turning and timber stacking area</t>
  </si>
  <si>
    <t>Create new area for turning and timber stacking  600m2 at £25m2</t>
  </si>
  <si>
    <t>Ground prep/scarifying</t>
  </si>
  <si>
    <t>Scarify site for planting at £600/ha</t>
  </si>
  <si>
    <t xml:space="preserve">Fencing </t>
  </si>
  <si>
    <t xml:space="preserve">Maintain boundaries with grazings. Estimate 200 meters Stock proof fencing at £5.00 per meter.
</t>
  </si>
  <si>
    <t>Maintenance</t>
  </si>
  <si>
    <t>Stocking densities</t>
  </si>
  <si>
    <t>Area (ha)</t>
  </si>
  <si>
    <t>Average cost would be subject to a specific quote. Includes Public, product, employers and pollution liabilty. Assumed the woodfuel staff may also carry out some chainsaw and low impact forestry work</t>
  </si>
  <si>
    <t>Number of trees</t>
  </si>
  <si>
    <t>£/tree planted</t>
  </si>
  <si>
    <t>Broadleaves</t>
  </si>
  <si>
    <t>Confier</t>
  </si>
  <si>
    <t>% broadleaved restock</t>
  </si>
  <si>
    <t>% natural regeneration</t>
  </si>
  <si>
    <t>Open ground</t>
  </si>
  <si>
    <t>VAT</t>
  </si>
  <si>
    <t>Due on sales</t>
  </si>
  <si>
    <t>Reclaim on purchases</t>
  </si>
  <si>
    <t>General</t>
  </si>
  <si>
    <t>Basic 5 Year P&amp;L</t>
  </si>
  <si>
    <t>Improve junction with A861</t>
  </si>
  <si>
    <t>Form new access and bell mouth at forest access to Longrigg Road</t>
  </si>
  <si>
    <t>New forest access track and improvements to Longrigg Road</t>
  </si>
  <si>
    <t>Based on road engineers report 2020</t>
  </si>
  <si>
    <t>Road and track repairs</t>
  </si>
  <si>
    <t xml:space="preserve">July </t>
  </si>
  <si>
    <t>Cash</t>
  </si>
  <si>
    <t>Time</t>
  </si>
  <si>
    <t>Restocking year 5 - spruce area</t>
  </si>
  <si>
    <t>FGS grant</t>
  </si>
  <si>
    <t>5 year average</t>
  </si>
  <si>
    <t>Paid at £550 per ha for woodland improvement to restrucutre age and species composition at the point of replanting following felling over a three year period.</t>
  </si>
  <si>
    <t>Roadside value £/t</t>
  </si>
  <si>
    <t>Local firewood</t>
  </si>
  <si>
    <t>Harvesting and extraction cost £/t</t>
  </si>
  <si>
    <t>Total roadside timber value</t>
  </si>
  <si>
    <t>Total harvesting and extraction cost</t>
  </si>
  <si>
    <t>Total timber profit</t>
  </si>
  <si>
    <t>Comments</t>
  </si>
  <si>
    <t>2m lengths (Dunnet Community Forest sells 1m lengths @ £32/m3)</t>
  </si>
  <si>
    <t>All chip for external sale (non-log)</t>
  </si>
  <si>
    <t>Down to 16cm top diam</t>
  </si>
  <si>
    <t>Trees/ha</t>
  </si>
  <si>
    <t>FGS woodland improvement Spruce clearfell compartments only</t>
  </si>
  <si>
    <t>Timber prices are average market prices paid at roadside (including harvesting rates).</t>
  </si>
  <si>
    <t>Years 1 to 5 - focus on short term restructuring of spruce compartments of woodland.</t>
  </si>
  <si>
    <t>Combination of restock mixed broadleaves at 1600/ha at 40% of area, natural regeneration at 40% of area and 10% open ground. Supply and plant each unit broadleaves at @ £1.05.</t>
  </si>
  <si>
    <t>Professional Forester to produce long term plan for value of FGS. Supervison of felling contracts and restocking. Visual tree assessment carried out 4 times in a five year period.</t>
  </si>
  <si>
    <t>Maintain replanted areas and replace losses - 10% of year 2 cost. Include general maintenance budget of £20 per ha (78.2ha @ £20/ha = £1,564)</t>
  </si>
  <si>
    <t>BL</t>
  </si>
  <si>
    <t>CON</t>
  </si>
  <si>
    <t>Harvested timber - spruce sawlogs</t>
  </si>
  <si>
    <t>Harvested timber - spruce local firewood</t>
  </si>
  <si>
    <t>Harvested timber - spruce chipwood</t>
  </si>
  <si>
    <t>Harvested timber - larch local firewood - removal of 10% of trees (thin or clearfell)</t>
  </si>
  <si>
    <t>Harvested timber - pine local firewood - removal of 10% of trees (thin or clearfell)</t>
  </si>
  <si>
    <t xml:space="preserve">Selling of 2m lengths to local market. After year 1 - removal of 10% of larch and pine trees to bring in regular income. Can be through thin or small scale clearfell operation. To be informed by management plan. </t>
  </si>
  <si>
    <t>Restocking of clearfelled spruce compartments.</t>
  </si>
  <si>
    <t>Income based on felling as per mensurational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</si>
</sst>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14">
    <font>
      <sz val="11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9"/>
      <name val="Calibri"/>
    </font>
    <font>
      <sz val="10"/>
      <color rgb="FF000000"/>
      <name val="Arial"/>
    </font>
    <font>
      <sz val="11"/>
      <name val="Calibri"/>
    </font>
    <font>
      <sz val="10"/>
      <color rgb="FF000000"/>
      <name val="Calibri"/>
    </font>
    <font>
      <sz val="12"/>
      <color rgb="FF000000"/>
      <name val="Calibri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4" fontId="1" fillId="2" borderId="1" xfId="0" applyNumberFormat="1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Alignment="1"/>
    <xf numFmtId="4" fontId="1" fillId="0" borderId="0" xfId="0" applyNumberFormat="1" applyFont="1" applyAlignment="1">
      <alignment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6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9" xfId="0" applyNumberFormat="1" applyFont="1" applyBorder="1" applyAlignment="1">
      <alignment horizontal="right" vertical="top" wrapText="1"/>
    </xf>
    <xf numFmtId="164" fontId="2" fillId="0" borderId="9" xfId="0" applyNumberFormat="1" applyFont="1" applyBorder="1" applyAlignment="1">
      <alignment horizontal="right" vertical="top" wrapText="1"/>
    </xf>
    <xf numFmtId="164" fontId="2" fillId="0" borderId="9" xfId="0" applyNumberFormat="1" applyFont="1" applyBorder="1" applyAlignment="1">
      <alignment horizontal="right" vertical="top"/>
    </xf>
    <xf numFmtId="164" fontId="2" fillId="0" borderId="10" xfId="0" applyNumberFormat="1" applyFont="1" applyBorder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2" fillId="0" borderId="10" xfId="0" applyNumberFormat="1" applyFont="1" applyBorder="1" applyAlignment="1">
      <alignment horizontal="right" vertical="top" wrapText="1"/>
    </xf>
    <xf numFmtId="4" fontId="2" fillId="0" borderId="0" xfId="0" applyNumberFormat="1" applyFont="1" applyAlignment="1">
      <alignment vertical="top" wrapText="1"/>
    </xf>
    <xf numFmtId="164" fontId="3" fillId="0" borderId="9" xfId="0" applyNumberFormat="1" applyFont="1" applyBorder="1" applyAlignment="1">
      <alignment horizontal="right" vertical="top" wrapText="1"/>
    </xf>
    <xf numFmtId="164" fontId="3" fillId="0" borderId="10" xfId="0" applyNumberFormat="1" applyFont="1" applyBorder="1" applyAlignment="1">
      <alignment horizontal="right" vertical="top" wrapText="1"/>
    </xf>
    <xf numFmtId="4" fontId="1" fillId="0" borderId="0" xfId="0" applyNumberFormat="1" applyFont="1" applyAlignment="1"/>
    <xf numFmtId="4" fontId="1" fillId="2" borderId="11" xfId="0" applyNumberFormat="1" applyFont="1" applyFill="1" applyBorder="1" applyAlignment="1">
      <alignment vertical="top" wrapText="1"/>
    </xf>
    <xf numFmtId="164" fontId="1" fillId="0" borderId="13" xfId="0" applyNumberFormat="1" applyFont="1" applyBorder="1" applyAlignment="1">
      <alignment horizontal="right" vertical="top" wrapText="1"/>
    </xf>
    <xf numFmtId="164" fontId="3" fillId="0" borderId="14" xfId="0" applyNumberFormat="1" applyFont="1" applyBorder="1" applyAlignment="1">
      <alignment horizontal="right" vertical="top" wrapText="1"/>
    </xf>
    <xf numFmtId="4" fontId="3" fillId="0" borderId="15" xfId="0" applyNumberFormat="1" applyFont="1" applyBorder="1" applyAlignment="1">
      <alignment horizontal="right" vertical="top" wrapText="1"/>
    </xf>
    <xf numFmtId="4" fontId="3" fillId="0" borderId="16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4" fontId="3" fillId="0" borderId="10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vertical="top" wrapText="1"/>
    </xf>
    <xf numFmtId="164" fontId="3" fillId="0" borderId="8" xfId="0" applyNumberFormat="1" applyFont="1" applyBorder="1" applyAlignment="1">
      <alignment horizontal="right" vertical="top" wrapText="1"/>
    </xf>
    <xf numFmtId="164" fontId="3" fillId="0" borderId="10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top" wrapText="1"/>
    </xf>
    <xf numFmtId="164" fontId="1" fillId="0" borderId="18" xfId="0" applyNumberFormat="1" applyFont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/>
    <xf numFmtId="164" fontId="2" fillId="3" borderId="1" xfId="0" applyNumberFormat="1" applyFont="1" applyFill="1" applyBorder="1" applyAlignment="1">
      <alignment horizontal="right" vertical="top" wrapText="1"/>
    </xf>
    <xf numFmtId="4" fontId="3" fillId="0" borderId="12" xfId="0" applyNumberFormat="1" applyFont="1" applyBorder="1" applyAlignment="1"/>
    <xf numFmtId="4" fontId="2" fillId="0" borderId="0" xfId="0" applyNumberFormat="1" applyFont="1" applyAlignment="1"/>
    <xf numFmtId="4" fontId="1" fillId="0" borderId="1" xfId="0" applyNumberFormat="1" applyFont="1" applyBorder="1" applyAlignment="1">
      <alignment vertical="top" wrapText="1"/>
    </xf>
    <xf numFmtId="164" fontId="1" fillId="0" borderId="19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8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vertical="top" wrapText="1"/>
    </xf>
    <xf numFmtId="164" fontId="0" fillId="0" borderId="0" xfId="0" applyNumberFormat="1" applyFont="1" applyAlignment="1"/>
    <xf numFmtId="0" fontId="0" fillId="0" borderId="0" xfId="0" applyFont="1" applyAlignment="1">
      <alignment wrapText="1"/>
    </xf>
    <xf numFmtId="0" fontId="5" fillId="0" borderId="0" xfId="0" applyFont="1" applyAlignment="1"/>
    <xf numFmtId="0" fontId="6" fillId="0" borderId="1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1" fontId="6" fillId="0" borderId="21" xfId="0" applyNumberFormat="1" applyFont="1" applyBorder="1" applyAlignment="1">
      <alignment vertical="center" wrapText="1"/>
    </xf>
    <xf numFmtId="3" fontId="6" fillId="0" borderId="21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8" fontId="7" fillId="0" borderId="21" xfId="0" applyNumberFormat="1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3" fontId="7" fillId="0" borderId="21" xfId="0" applyNumberFormat="1" applyFont="1" applyBorder="1" applyAlignment="1">
      <alignment vertical="center" wrapText="1"/>
    </xf>
    <xf numFmtId="6" fontId="7" fillId="0" borderId="2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7" fillId="0" borderId="20" xfId="0" applyFont="1" applyBorder="1" applyAlignment="1">
      <alignment vertical="center" wrapText="1"/>
    </xf>
    <xf numFmtId="9" fontId="7" fillId="0" borderId="2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vertical="center" wrapText="1"/>
    </xf>
    <xf numFmtId="9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6" fontId="7" fillId="0" borderId="0" xfId="0" applyNumberFormat="1" applyFont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right"/>
    </xf>
    <xf numFmtId="9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4" fontId="0" fillId="0" borderId="0" xfId="0" applyNumberFormat="1" applyFont="1" applyAlignment="1"/>
    <xf numFmtId="0" fontId="0" fillId="0" borderId="0" xfId="0" applyFont="1" applyAlignment="1"/>
    <xf numFmtId="4" fontId="1" fillId="0" borderId="17" xfId="0" applyNumberFormat="1" applyFont="1" applyBorder="1" applyAlignment="1">
      <alignment vertical="top" wrapText="1"/>
    </xf>
    <xf numFmtId="4" fontId="2" fillId="0" borderId="17" xfId="0" applyNumberFormat="1" applyFont="1" applyBorder="1" applyAlignment="1"/>
    <xf numFmtId="4" fontId="8" fillId="4" borderId="22" xfId="0" applyNumberFormat="1" applyFont="1" applyFill="1" applyBorder="1" applyAlignment="1"/>
    <xf numFmtId="4" fontId="2" fillId="0" borderId="22" xfId="0" applyNumberFormat="1" applyFont="1" applyBorder="1" applyAlignment="1"/>
    <xf numFmtId="4" fontId="9" fillId="4" borderId="22" xfId="0" applyNumberFormat="1" applyFont="1" applyFill="1" applyBorder="1" applyAlignment="1"/>
    <xf numFmtId="164" fontId="2" fillId="0" borderId="22" xfId="0" applyNumberFormat="1" applyFont="1" applyBorder="1" applyAlignment="1"/>
    <xf numFmtId="4" fontId="1" fillId="2" borderId="23" xfId="0" applyNumberFormat="1" applyFont="1" applyFill="1" applyBorder="1" applyAlignment="1">
      <alignment vertical="top" wrapText="1"/>
    </xf>
    <xf numFmtId="0" fontId="11" fillId="0" borderId="0" xfId="0" applyFont="1" applyAlignment="1">
      <alignment wrapText="1"/>
    </xf>
    <xf numFmtId="164" fontId="3" fillId="0" borderId="15" xfId="0" applyNumberFormat="1" applyFont="1" applyBorder="1" applyAlignment="1">
      <alignment horizontal="right" vertical="top" wrapText="1"/>
    </xf>
    <xf numFmtId="164" fontId="3" fillId="0" borderId="16" xfId="0" applyNumberFormat="1" applyFont="1" applyBorder="1" applyAlignment="1">
      <alignment horizontal="right" vertical="top" wrapText="1"/>
    </xf>
    <xf numFmtId="0" fontId="0" fillId="0" borderId="0" xfId="0" applyFont="1" applyAlignment="1"/>
    <xf numFmtId="0" fontId="12" fillId="0" borderId="0" xfId="0" applyFont="1" applyAlignment="1">
      <alignment wrapText="1"/>
    </xf>
    <xf numFmtId="0" fontId="0" fillId="0" borderId="0" xfId="0" applyFont="1" applyAlignment="1"/>
    <xf numFmtId="164" fontId="9" fillId="0" borderId="0" xfId="0" applyNumberFormat="1" applyFont="1" applyAlignment="1"/>
    <xf numFmtId="164" fontId="1" fillId="0" borderId="26" xfId="0" applyNumberFormat="1" applyFont="1" applyBorder="1" applyAlignment="1">
      <alignment horizontal="right" vertical="top" wrapText="1"/>
    </xf>
    <xf numFmtId="4" fontId="1" fillId="0" borderId="27" xfId="0" applyNumberFormat="1" applyFont="1" applyBorder="1" applyAlignment="1">
      <alignment vertical="top" wrapText="1"/>
    </xf>
    <xf numFmtId="164" fontId="1" fillId="0" borderId="28" xfId="0" applyNumberFormat="1" applyFont="1" applyBorder="1" applyAlignment="1">
      <alignment horizontal="right" vertical="top" wrapText="1"/>
    </xf>
    <xf numFmtId="4" fontId="1" fillId="0" borderId="12" xfId="0" applyNumberFormat="1" applyFont="1" applyBorder="1" applyAlignment="1">
      <alignment horizontal="right" vertical="top" wrapText="1"/>
    </xf>
    <xf numFmtId="164" fontId="2" fillId="0" borderId="18" xfId="0" applyNumberFormat="1" applyFont="1" applyBorder="1" applyAlignment="1">
      <alignment horizontal="right" vertical="top" wrapText="1"/>
    </xf>
    <xf numFmtId="164" fontId="1" fillId="0" borderId="29" xfId="0" applyNumberFormat="1" applyFont="1" applyBorder="1" applyAlignment="1">
      <alignment horizontal="right" vertical="top" wrapText="1"/>
    </xf>
    <xf numFmtId="164" fontId="1" fillId="0" borderId="30" xfId="0" applyNumberFormat="1" applyFont="1" applyBorder="1" applyAlignment="1">
      <alignment horizontal="right" vertical="top" wrapText="1"/>
    </xf>
    <xf numFmtId="164" fontId="1" fillId="0" borderId="31" xfId="0" applyNumberFormat="1" applyFont="1" applyBorder="1" applyAlignment="1">
      <alignment horizontal="right" vertical="top" wrapText="1"/>
    </xf>
    <xf numFmtId="164" fontId="3" fillId="0" borderId="25" xfId="0" applyNumberFormat="1" applyFont="1" applyBorder="1" applyAlignment="1">
      <alignment horizontal="right" vertical="top" wrapText="1"/>
    </xf>
    <xf numFmtId="4" fontId="1" fillId="2" borderId="32" xfId="0" applyNumberFormat="1" applyFont="1" applyFill="1" applyBorder="1" applyAlignment="1">
      <alignment vertical="top" wrapText="1"/>
    </xf>
    <xf numFmtId="4" fontId="1" fillId="2" borderId="33" xfId="0" applyNumberFormat="1" applyFont="1" applyFill="1" applyBorder="1" applyAlignment="1">
      <alignment vertical="top" wrapText="1"/>
    </xf>
    <xf numFmtId="4" fontId="1" fillId="2" borderId="34" xfId="0" applyNumberFormat="1" applyFont="1" applyFill="1" applyBorder="1" applyAlignment="1">
      <alignment vertical="top" wrapText="1"/>
    </xf>
    <xf numFmtId="4" fontId="9" fillId="2" borderId="33" xfId="0" applyNumberFormat="1" applyFont="1" applyFill="1" applyBorder="1" applyAlignment="1">
      <alignment vertical="top" wrapText="1"/>
    </xf>
    <xf numFmtId="4" fontId="2" fillId="2" borderId="33" xfId="0" applyNumberFormat="1" applyFont="1" applyFill="1" applyBorder="1" applyAlignment="1">
      <alignment vertical="top" wrapText="1"/>
    </xf>
    <xf numFmtId="4" fontId="2" fillId="2" borderId="35" xfId="0" applyNumberFormat="1" applyFont="1" applyFill="1" applyBorder="1" applyAlignment="1"/>
    <xf numFmtId="4" fontId="2" fillId="0" borderId="17" xfId="0" applyNumberFormat="1" applyFont="1" applyBorder="1" applyAlignment="1">
      <alignment vertical="top" wrapText="1"/>
    </xf>
    <xf numFmtId="4" fontId="1" fillId="0" borderId="20" xfId="0" applyNumberFormat="1" applyFont="1" applyBorder="1" applyAlignment="1">
      <alignment horizontal="right" vertical="top" wrapText="1"/>
    </xf>
    <xf numFmtId="4" fontId="2" fillId="0" borderId="20" xfId="0" applyNumberFormat="1" applyFont="1" applyBorder="1" applyAlignment="1">
      <alignment horizontal="right" vertical="top" wrapText="1"/>
    </xf>
    <xf numFmtId="4" fontId="3" fillId="0" borderId="36" xfId="0" applyNumberFormat="1" applyFont="1" applyBorder="1" applyAlignment="1"/>
    <xf numFmtId="4" fontId="1" fillId="2" borderId="37" xfId="0" applyNumberFormat="1" applyFont="1" applyFill="1" applyBorder="1" applyAlignment="1">
      <alignment vertical="top" wrapText="1"/>
    </xf>
    <xf numFmtId="4" fontId="2" fillId="2" borderId="37" xfId="0" applyNumberFormat="1" applyFont="1" applyFill="1" applyBorder="1" applyAlignment="1">
      <alignment horizontal="right" vertical="top" wrapText="1"/>
    </xf>
    <xf numFmtId="4" fontId="2" fillId="0" borderId="38" xfId="0" applyNumberFormat="1" applyFont="1" applyBorder="1" applyAlignment="1"/>
    <xf numFmtId="4" fontId="2" fillId="0" borderId="39" xfId="0" applyNumberFormat="1" applyFont="1" applyBorder="1" applyAlignment="1"/>
    <xf numFmtId="4" fontId="1" fillId="0" borderId="22" xfId="0" applyNumberFormat="1" applyFont="1" applyBorder="1" applyAlignment="1"/>
    <xf numFmtId="164" fontId="1" fillId="0" borderId="17" xfId="0" applyNumberFormat="1" applyFont="1" applyBorder="1" applyAlignment="1">
      <alignment vertical="top" wrapText="1"/>
    </xf>
    <xf numFmtId="164" fontId="1" fillId="0" borderId="40" xfId="0" applyNumberFormat="1" applyFont="1" applyBorder="1" applyAlignment="1">
      <alignment vertical="top" wrapText="1"/>
    </xf>
    <xf numFmtId="164" fontId="1" fillId="0" borderId="41" xfId="0" applyNumberFormat="1" applyFont="1" applyBorder="1" applyAlignment="1">
      <alignment vertical="top" wrapText="1"/>
    </xf>
    <xf numFmtId="4" fontId="1" fillId="2" borderId="42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8" fontId="0" fillId="0" borderId="0" xfId="0" applyNumberFormat="1" applyFont="1" applyAlignment="1"/>
    <xf numFmtId="0" fontId="7" fillId="0" borderId="22" xfId="0" applyFont="1" applyBorder="1" applyAlignment="1">
      <alignment vertical="center" wrapText="1"/>
    </xf>
    <xf numFmtId="0" fontId="0" fillId="0" borderId="22" xfId="0" applyFont="1" applyBorder="1" applyAlignment="1">
      <alignment wrapText="1"/>
    </xf>
    <xf numFmtId="0" fontId="7" fillId="0" borderId="22" xfId="0" applyFont="1" applyFill="1" applyBorder="1" applyAlignment="1">
      <alignment vertical="center" wrapText="1"/>
    </xf>
    <xf numFmtId="8" fontId="7" fillId="0" borderId="22" xfId="0" applyNumberFormat="1" applyFont="1" applyBorder="1" applyAlignment="1">
      <alignment vertical="center" wrapText="1"/>
    </xf>
    <xf numFmtId="164" fontId="0" fillId="0" borderId="22" xfId="0" applyNumberFormat="1" applyFont="1" applyBorder="1" applyAlignment="1"/>
    <xf numFmtId="3" fontId="7" fillId="0" borderId="22" xfId="0" applyNumberFormat="1" applyFont="1" applyBorder="1" applyAlignment="1">
      <alignment vertical="center" wrapText="1"/>
    </xf>
    <xf numFmtId="6" fontId="7" fillId="0" borderId="22" xfId="0" applyNumberFormat="1" applyFont="1" applyBorder="1" applyAlignment="1">
      <alignment vertical="center" wrapText="1"/>
    </xf>
    <xf numFmtId="0" fontId="0" fillId="0" borderId="22" xfId="0" applyFont="1" applyBorder="1" applyAlignment="1"/>
    <xf numFmtId="164" fontId="2" fillId="0" borderId="24" xfId="0" applyNumberFormat="1" applyFont="1" applyBorder="1" applyAlignment="1">
      <alignment horizontal="right" vertical="top" wrapText="1"/>
    </xf>
    <xf numFmtId="3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164" fontId="2" fillId="0" borderId="24" xfId="0" applyNumberFormat="1" applyFont="1" applyBorder="1" applyAlignment="1">
      <alignment horizontal="right" vertical="top"/>
    </xf>
    <xf numFmtId="164" fontId="2" fillId="0" borderId="43" xfId="0" applyNumberFormat="1" applyFont="1" applyBorder="1" applyAlignment="1">
      <alignment horizontal="right" vertical="top" wrapText="1"/>
    </xf>
    <xf numFmtId="0" fontId="10" fillId="0" borderId="0" xfId="0" applyFont="1" applyAlignment="1"/>
    <xf numFmtId="0" fontId="12" fillId="0" borderId="0" xfId="0" applyFont="1" applyAlignment="1"/>
    <xf numFmtId="4" fontId="8" fillId="2" borderId="33" xfId="0" applyNumberFormat="1" applyFont="1" applyFill="1" applyBorder="1" applyAlignment="1">
      <alignment vertical="top" wrapText="1"/>
    </xf>
    <xf numFmtId="164" fontId="8" fillId="0" borderId="8" xfId="0" applyNumberFormat="1" applyFont="1" applyBorder="1" applyAlignment="1">
      <alignment horizontal="right" vertical="top" wrapText="1"/>
    </xf>
    <xf numFmtId="164" fontId="7" fillId="0" borderId="22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Graphs!$A$2</c:f>
              <c:strCache>
                <c:ptCount val="1"/>
                <c:pt idx="0">
                  <c:v>Cash</c:v>
                </c:pt>
              </c:strCache>
            </c:strRef>
          </c:tx>
          <c:marker>
            <c:symbol val="none"/>
          </c:marker>
          <c:cat>
            <c:strRef>
              <c:f>Graphs!$B$1:$BI$1</c:f>
              <c:strCache>
                <c:ptCount val="60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 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  <c:pt idx="13">
                  <c:v>May</c:v>
                </c:pt>
                <c:pt idx="14">
                  <c:v>June</c:v>
                </c:pt>
                <c:pt idx="15">
                  <c:v>July</c:v>
                </c:pt>
                <c:pt idx="16">
                  <c:v>August</c:v>
                </c:pt>
                <c:pt idx="17">
                  <c:v>September</c:v>
                </c:pt>
                <c:pt idx="18">
                  <c:v>October</c:v>
                </c:pt>
                <c:pt idx="19">
                  <c:v>November</c:v>
                </c:pt>
                <c:pt idx="20">
                  <c:v>December</c:v>
                </c:pt>
                <c:pt idx="21">
                  <c:v>January</c:v>
                </c:pt>
                <c:pt idx="22">
                  <c:v>February</c:v>
                </c:pt>
                <c:pt idx="23">
                  <c:v>March</c:v>
                </c:pt>
                <c:pt idx="24">
                  <c:v>April</c:v>
                </c:pt>
                <c:pt idx="25">
                  <c:v>May</c:v>
                </c:pt>
                <c:pt idx="26">
                  <c:v>June</c:v>
                </c:pt>
                <c:pt idx="27">
                  <c:v>July</c:v>
                </c:pt>
                <c:pt idx="28">
                  <c:v>August</c:v>
                </c:pt>
                <c:pt idx="29">
                  <c:v>September</c:v>
                </c:pt>
                <c:pt idx="30">
                  <c:v>October</c:v>
                </c:pt>
                <c:pt idx="31">
                  <c:v>November</c:v>
                </c:pt>
                <c:pt idx="32">
                  <c:v>December</c:v>
                </c:pt>
                <c:pt idx="33">
                  <c:v>January</c:v>
                </c:pt>
                <c:pt idx="34">
                  <c:v>February</c:v>
                </c:pt>
                <c:pt idx="35">
                  <c:v>March</c:v>
                </c:pt>
                <c:pt idx="36">
                  <c:v>April</c:v>
                </c:pt>
                <c:pt idx="37">
                  <c:v>May</c:v>
                </c:pt>
                <c:pt idx="38">
                  <c:v>June</c:v>
                </c:pt>
                <c:pt idx="39">
                  <c:v>July</c:v>
                </c:pt>
                <c:pt idx="40">
                  <c:v>August</c:v>
                </c:pt>
                <c:pt idx="41">
                  <c:v>September</c:v>
                </c:pt>
                <c:pt idx="42">
                  <c:v>October</c:v>
                </c:pt>
                <c:pt idx="43">
                  <c:v>November</c:v>
                </c:pt>
                <c:pt idx="44">
                  <c:v>December</c:v>
                </c:pt>
                <c:pt idx="45">
                  <c:v>January</c:v>
                </c:pt>
                <c:pt idx="46">
                  <c:v>February</c:v>
                </c:pt>
                <c:pt idx="47">
                  <c:v>March</c:v>
                </c:pt>
                <c:pt idx="48">
                  <c:v>April</c:v>
                </c:pt>
                <c:pt idx="49">
                  <c:v>May</c:v>
                </c:pt>
                <c:pt idx="50">
                  <c:v>June</c:v>
                </c:pt>
                <c:pt idx="51">
                  <c:v>July</c:v>
                </c:pt>
                <c:pt idx="52">
                  <c:v>August</c:v>
                </c:pt>
                <c:pt idx="53">
                  <c:v>September</c:v>
                </c:pt>
                <c:pt idx="54">
                  <c:v>October</c:v>
                </c:pt>
                <c:pt idx="55">
                  <c:v>November</c:v>
                </c:pt>
                <c:pt idx="56">
                  <c:v>December</c:v>
                </c:pt>
                <c:pt idx="57">
                  <c:v>January</c:v>
                </c:pt>
                <c:pt idx="58">
                  <c:v>February</c:v>
                </c:pt>
                <c:pt idx="59">
                  <c:v>March</c:v>
                </c:pt>
              </c:strCache>
            </c:strRef>
          </c:cat>
          <c:val>
            <c:numRef>
              <c:f>Graphs!$B$2:$BI$2</c:f>
              <c:numCache>
                <c:formatCode>#,##0.00</c:formatCode>
                <c:ptCount val="60"/>
                <c:pt idx="0">
                  <c:v>-480</c:v>
                </c:pt>
                <c:pt idx="1">
                  <c:v>-560</c:v>
                </c:pt>
                <c:pt idx="2">
                  <c:v>-640</c:v>
                </c:pt>
                <c:pt idx="3">
                  <c:v>-720</c:v>
                </c:pt>
                <c:pt idx="4">
                  <c:v>-800</c:v>
                </c:pt>
                <c:pt idx="5">
                  <c:v>-3080</c:v>
                </c:pt>
                <c:pt idx="6">
                  <c:v>-960</c:v>
                </c:pt>
                <c:pt idx="7">
                  <c:v>118492.5</c:v>
                </c:pt>
                <c:pt idx="8">
                  <c:v>117712.5</c:v>
                </c:pt>
                <c:pt idx="9">
                  <c:v>117632.5</c:v>
                </c:pt>
                <c:pt idx="10">
                  <c:v>116552.5</c:v>
                </c:pt>
                <c:pt idx="11">
                  <c:v>116472.5</c:v>
                </c:pt>
                <c:pt idx="12">
                  <c:v>116472.5</c:v>
                </c:pt>
                <c:pt idx="13">
                  <c:v>116392.5</c:v>
                </c:pt>
                <c:pt idx="14">
                  <c:v>116312.5</c:v>
                </c:pt>
                <c:pt idx="15">
                  <c:v>116232.5</c:v>
                </c:pt>
                <c:pt idx="16">
                  <c:v>116152.5</c:v>
                </c:pt>
                <c:pt idx="17">
                  <c:v>116072.5</c:v>
                </c:pt>
                <c:pt idx="18">
                  <c:v>115992.5</c:v>
                </c:pt>
                <c:pt idx="19">
                  <c:v>115212.5</c:v>
                </c:pt>
                <c:pt idx="20">
                  <c:v>122269.7926</c:v>
                </c:pt>
                <c:pt idx="21">
                  <c:v>91489.792600000001</c:v>
                </c:pt>
                <c:pt idx="22">
                  <c:v>85859.792600000001</c:v>
                </c:pt>
                <c:pt idx="23">
                  <c:v>85079.792600000001</c:v>
                </c:pt>
                <c:pt idx="24">
                  <c:v>69476.592600000004</c:v>
                </c:pt>
                <c:pt idx="25">
                  <c:v>69396.592600000004</c:v>
                </c:pt>
                <c:pt idx="26">
                  <c:v>69316.592600000004</c:v>
                </c:pt>
                <c:pt idx="27">
                  <c:v>69236.592600000004</c:v>
                </c:pt>
                <c:pt idx="28">
                  <c:v>69156.592600000004</c:v>
                </c:pt>
                <c:pt idx="29">
                  <c:v>69076.592600000004</c:v>
                </c:pt>
                <c:pt idx="30">
                  <c:v>68596.592600000004</c:v>
                </c:pt>
                <c:pt idx="31">
                  <c:v>68516.592600000004</c:v>
                </c:pt>
                <c:pt idx="32">
                  <c:v>65320.592600000004</c:v>
                </c:pt>
                <c:pt idx="33">
                  <c:v>65240.592600000004</c:v>
                </c:pt>
                <c:pt idx="34">
                  <c:v>65160.592600000004</c:v>
                </c:pt>
                <c:pt idx="35">
                  <c:v>65080.592600000004</c:v>
                </c:pt>
                <c:pt idx="36">
                  <c:v>86660.592600000004</c:v>
                </c:pt>
                <c:pt idx="37">
                  <c:v>86580.592600000004</c:v>
                </c:pt>
                <c:pt idx="38">
                  <c:v>86500.592600000004</c:v>
                </c:pt>
                <c:pt idx="39">
                  <c:v>86420.592600000004</c:v>
                </c:pt>
                <c:pt idx="40">
                  <c:v>86340.592600000004</c:v>
                </c:pt>
                <c:pt idx="41">
                  <c:v>86260.592600000004</c:v>
                </c:pt>
                <c:pt idx="42">
                  <c:v>85780.592600000004</c:v>
                </c:pt>
                <c:pt idx="43">
                  <c:v>85700.592600000004</c:v>
                </c:pt>
                <c:pt idx="44">
                  <c:v>92307.576466666666</c:v>
                </c:pt>
                <c:pt idx="45">
                  <c:v>92227.576466666666</c:v>
                </c:pt>
                <c:pt idx="46">
                  <c:v>92147.576466666666</c:v>
                </c:pt>
                <c:pt idx="47">
                  <c:v>92067.576466666666</c:v>
                </c:pt>
                <c:pt idx="48">
                  <c:v>91987.576466666666</c:v>
                </c:pt>
                <c:pt idx="49">
                  <c:v>91907.576466666666</c:v>
                </c:pt>
                <c:pt idx="50">
                  <c:v>91827.576466666666</c:v>
                </c:pt>
                <c:pt idx="51">
                  <c:v>91747.576466666666</c:v>
                </c:pt>
                <c:pt idx="52">
                  <c:v>91667.576466666666</c:v>
                </c:pt>
                <c:pt idx="53">
                  <c:v>91587.576466666666</c:v>
                </c:pt>
                <c:pt idx="54">
                  <c:v>91107.576466666666</c:v>
                </c:pt>
                <c:pt idx="55">
                  <c:v>91027.576466666666</c:v>
                </c:pt>
                <c:pt idx="56">
                  <c:v>96532.869066666666</c:v>
                </c:pt>
                <c:pt idx="57">
                  <c:v>96452.869066666666</c:v>
                </c:pt>
                <c:pt idx="58">
                  <c:v>96372.869066666666</c:v>
                </c:pt>
                <c:pt idx="59">
                  <c:v>96292.869066666666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6-4D73-9F8D-7A73F46F2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47776"/>
        <c:axId val="196349312"/>
      </c:lineChart>
      <c:catAx>
        <c:axId val="196347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6349312"/>
        <c:crosses val="autoZero"/>
        <c:auto val="1"/>
        <c:lblAlgn val="ctr"/>
        <c:lblOffset val="100"/>
        <c:noMultiLvlLbl val="0"/>
      </c:catAx>
      <c:valAx>
        <c:axId val="1963493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96347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133349</xdr:rowOff>
    </xdr:from>
    <xdr:to>
      <xdr:col>9</xdr:col>
      <xdr:colOff>561975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tabSelected="1" zoomScale="98" zoomScaleNormal="98" workbookViewId="0">
      <pane xSplit="1" topLeftCell="B1" activePane="topRight" state="frozen"/>
      <selection pane="topRight" activeCell="E7" sqref="E7"/>
    </sheetView>
  </sheetViews>
  <sheetFormatPr defaultColWidth="14.44140625" defaultRowHeight="15" customHeight="1"/>
  <cols>
    <col min="1" max="1" width="18.6640625" customWidth="1"/>
    <col min="2" max="2" width="6.6640625" customWidth="1"/>
    <col min="3" max="3" width="12.6640625" customWidth="1"/>
    <col min="4" max="4" width="10.33203125" customWidth="1"/>
    <col min="5" max="13" width="10" customWidth="1"/>
    <col min="14" max="14" width="12.5546875" customWidth="1"/>
    <col min="15" max="15" width="10" customWidth="1"/>
    <col min="16" max="26" width="8" customWidth="1"/>
  </cols>
  <sheetData>
    <row r="1" spans="1:26" ht="15.75" customHeight="1" thickBot="1">
      <c r="A1" s="1"/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5" t="s">
        <v>13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4">
      <c r="A2" s="109" t="s">
        <v>14</v>
      </c>
      <c r="B2" s="7"/>
      <c r="C2" s="8"/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  <c r="M2" s="9" t="s">
        <v>24</v>
      </c>
      <c r="N2" s="9" t="s">
        <v>25</v>
      </c>
      <c r="O2" s="10" t="s">
        <v>26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4" hidden="1">
      <c r="A3" s="110"/>
      <c r="B3" s="7"/>
      <c r="C3" s="11"/>
      <c r="D3" s="12">
        <v>18.079999999999998</v>
      </c>
      <c r="E3" s="12">
        <v>12.05</v>
      </c>
      <c r="F3" s="12">
        <v>6.03</v>
      </c>
      <c r="G3" s="12">
        <v>6.03</v>
      </c>
      <c r="H3" s="12"/>
      <c r="I3" s="12"/>
      <c r="J3" s="12"/>
      <c r="K3" s="12"/>
      <c r="L3" s="12">
        <v>8.26</v>
      </c>
      <c r="M3" s="12">
        <v>8.26</v>
      </c>
      <c r="N3" s="12">
        <v>16.52</v>
      </c>
      <c r="O3" s="13">
        <v>24.78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2.5" customHeight="1">
      <c r="A4" s="145" t="s">
        <v>141</v>
      </c>
      <c r="B4" s="7"/>
      <c r="C4" s="48">
        <f t="shared" ref="C4:C7" si="0">SUM(D4:O4)</f>
        <v>53014.5</v>
      </c>
      <c r="D4" s="16">
        <v>0</v>
      </c>
      <c r="E4" s="16">
        <v>0</v>
      </c>
      <c r="F4" s="16">
        <v>0</v>
      </c>
      <c r="G4" s="16">
        <v>0</v>
      </c>
      <c r="H4" s="17">
        <v>0</v>
      </c>
      <c r="I4" s="17">
        <v>0</v>
      </c>
      <c r="J4" s="17">
        <v>0</v>
      </c>
      <c r="K4" s="17">
        <f>'Mensurational data'!I19</f>
        <v>53014.5</v>
      </c>
      <c r="L4" s="16">
        <v>0</v>
      </c>
      <c r="M4" s="16">
        <v>0</v>
      </c>
      <c r="N4" s="16">
        <v>0</v>
      </c>
      <c r="O4" s="20">
        <v>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2.5" customHeight="1">
      <c r="A5" s="145" t="s">
        <v>142</v>
      </c>
      <c r="B5" s="7"/>
      <c r="C5" s="48">
        <f t="shared" si="0"/>
        <v>15708.000000000002</v>
      </c>
      <c r="D5" s="16">
        <v>0</v>
      </c>
      <c r="E5" s="16">
        <v>0</v>
      </c>
      <c r="F5" s="16">
        <v>0</v>
      </c>
      <c r="G5" s="16">
        <v>0</v>
      </c>
      <c r="H5" s="17">
        <v>0</v>
      </c>
      <c r="I5" s="17">
        <v>0</v>
      </c>
      <c r="J5" s="17">
        <v>0</v>
      </c>
      <c r="K5" s="17">
        <f>'Mensurational data'!I17</f>
        <v>15708.000000000002</v>
      </c>
      <c r="L5" s="16">
        <v>0</v>
      </c>
      <c r="M5" s="16">
        <v>0</v>
      </c>
      <c r="N5" s="16">
        <v>0</v>
      </c>
      <c r="O5" s="20"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2.5" customHeight="1">
      <c r="A6" s="145" t="s">
        <v>143</v>
      </c>
      <c r="B6" s="19"/>
      <c r="C6" s="48">
        <f t="shared" si="0"/>
        <v>117810</v>
      </c>
      <c r="D6" s="16">
        <f t="shared" ref="D6" si="1">D4*$B$6</f>
        <v>0</v>
      </c>
      <c r="E6" s="16">
        <v>0</v>
      </c>
      <c r="F6" s="16">
        <v>0</v>
      </c>
      <c r="G6" s="16">
        <f t="shared" ref="G6:I6" si="2">G4*$B$6</f>
        <v>0</v>
      </c>
      <c r="H6" s="16">
        <f t="shared" si="2"/>
        <v>0</v>
      </c>
      <c r="I6" s="16">
        <f t="shared" si="2"/>
        <v>0</v>
      </c>
      <c r="J6" s="16">
        <v>0</v>
      </c>
      <c r="K6" s="17">
        <f>'Mensurational data'!I18</f>
        <v>117810</v>
      </c>
      <c r="L6" s="16">
        <f t="shared" ref="L6:O6" si="3">L4*$B$6</f>
        <v>0</v>
      </c>
      <c r="M6" s="16">
        <f t="shared" si="3"/>
        <v>0</v>
      </c>
      <c r="N6" s="16">
        <f t="shared" si="3"/>
        <v>0</v>
      </c>
      <c r="O6" s="20">
        <f t="shared" si="3"/>
        <v>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3" customHeight="1" thickBot="1">
      <c r="A7" s="111" t="s">
        <v>27</v>
      </c>
      <c r="B7" s="21"/>
      <c r="C7" s="48">
        <f t="shared" si="0"/>
        <v>2200</v>
      </c>
      <c r="D7" s="16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2200</v>
      </c>
      <c r="K7" s="32">
        <v>0</v>
      </c>
      <c r="L7" s="32">
        <v>0</v>
      </c>
      <c r="M7" s="32">
        <v>0</v>
      </c>
      <c r="N7" s="32">
        <v>0</v>
      </c>
      <c r="O7" s="35">
        <v>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thickBot="1">
      <c r="A8" s="92" t="s">
        <v>28</v>
      </c>
      <c r="B8" s="101"/>
      <c r="C8" s="47">
        <f>SUM(D8:O8)</f>
        <v>188732.5</v>
      </c>
      <c r="D8" s="26">
        <f t="shared" ref="D8:O8" si="4">SUM(D4:D7)</f>
        <v>0</v>
      </c>
      <c r="E8" s="26">
        <f t="shared" si="4"/>
        <v>0</v>
      </c>
      <c r="F8" s="26">
        <f t="shared" si="4"/>
        <v>0</v>
      </c>
      <c r="G8" s="26">
        <f t="shared" si="4"/>
        <v>0</v>
      </c>
      <c r="H8" s="26">
        <f t="shared" si="4"/>
        <v>0</v>
      </c>
      <c r="I8" s="26">
        <f t="shared" si="4"/>
        <v>0</v>
      </c>
      <c r="J8" s="26">
        <f t="shared" si="4"/>
        <v>2200</v>
      </c>
      <c r="K8" s="26">
        <f t="shared" si="4"/>
        <v>186532.5</v>
      </c>
      <c r="L8" s="26">
        <f t="shared" si="4"/>
        <v>0</v>
      </c>
      <c r="M8" s="26">
        <f t="shared" si="4"/>
        <v>0</v>
      </c>
      <c r="N8" s="26">
        <f t="shared" si="4"/>
        <v>0</v>
      </c>
      <c r="O8" s="26">
        <f t="shared" si="4"/>
        <v>0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4.4">
      <c r="A9" s="109" t="s">
        <v>29</v>
      </c>
      <c r="B9" s="7"/>
      <c r="C9" s="27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5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4">
      <c r="A10" s="110" t="s">
        <v>30</v>
      </c>
      <c r="B10" s="7"/>
      <c r="C10" s="48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96" customFormat="1" ht="24">
      <c r="A11" s="112" t="s">
        <v>110</v>
      </c>
      <c r="B11" s="7"/>
      <c r="C11" s="48">
        <f t="shared" ref="C11:C15" si="5">SUM(D11:O11)</f>
        <v>30000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30000</v>
      </c>
      <c r="L11" s="32">
        <v>0</v>
      </c>
      <c r="M11" s="32">
        <v>0</v>
      </c>
      <c r="N11" s="32">
        <v>0</v>
      </c>
      <c r="O11" s="35">
        <v>0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s="96" customFormat="1" ht="36">
      <c r="A12" s="112" t="s">
        <v>111</v>
      </c>
      <c r="B12" s="7"/>
      <c r="C12" s="48">
        <f t="shared" si="5"/>
        <v>10000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10000</v>
      </c>
      <c r="L12" s="32">
        <v>0</v>
      </c>
      <c r="M12" s="32">
        <v>0</v>
      </c>
      <c r="N12" s="32">
        <v>0</v>
      </c>
      <c r="O12" s="35">
        <v>0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48">
      <c r="A13" s="113" t="s">
        <v>31</v>
      </c>
      <c r="B13" s="21"/>
      <c r="C13" s="48">
        <f t="shared" si="5"/>
        <v>12000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12000</v>
      </c>
      <c r="L13" s="32">
        <v>0</v>
      </c>
      <c r="M13" s="32">
        <v>0</v>
      </c>
      <c r="N13" s="32">
        <v>0</v>
      </c>
      <c r="O13" s="35">
        <v>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3.75" customHeight="1">
      <c r="A14" s="113" t="s">
        <v>32</v>
      </c>
      <c r="B14" s="33"/>
      <c r="C14" s="48">
        <f t="shared" si="5"/>
        <v>15000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15000</v>
      </c>
      <c r="L14" s="16">
        <v>0</v>
      </c>
      <c r="M14" s="16">
        <v>0</v>
      </c>
      <c r="N14" s="16">
        <v>0</v>
      </c>
      <c r="O14" s="20">
        <v>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4">
      <c r="A15" s="114" t="s">
        <v>35</v>
      </c>
      <c r="B15" s="21"/>
      <c r="C15" s="49">
        <f t="shared" si="5"/>
        <v>1000</v>
      </c>
      <c r="D15" s="32">
        <v>0</v>
      </c>
      <c r="E15" s="32">
        <v>0</v>
      </c>
      <c r="F15" s="32">
        <v>0</v>
      </c>
      <c r="G15" s="32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1000</v>
      </c>
      <c r="O15" s="20">
        <v>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4">
      <c r="A16" s="110" t="s">
        <v>37</v>
      </c>
      <c r="B16" s="115"/>
      <c r="C16" s="48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5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4">
      <c r="A17" s="113" t="s">
        <v>38</v>
      </c>
      <c r="B17" s="115"/>
      <c r="C17" s="48">
        <f t="shared" ref="C17:C19" si="6">SUM(D17:O17)</f>
        <v>3300</v>
      </c>
      <c r="D17" s="16">
        <v>400</v>
      </c>
      <c r="E17" s="16">
        <v>0</v>
      </c>
      <c r="F17" s="16">
        <v>0</v>
      </c>
      <c r="G17" s="16">
        <v>0</v>
      </c>
      <c r="H17" s="16">
        <v>0</v>
      </c>
      <c r="I17" s="16">
        <v>2200</v>
      </c>
      <c r="J17" s="16">
        <v>0</v>
      </c>
      <c r="K17" s="16">
        <v>0</v>
      </c>
      <c r="L17" s="16">
        <v>700</v>
      </c>
      <c r="M17" s="16">
        <v>0</v>
      </c>
      <c r="N17" s="16">
        <v>0</v>
      </c>
      <c r="O17" s="20">
        <v>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thickBot="1">
      <c r="A18" s="113" t="s">
        <v>39</v>
      </c>
      <c r="B18" s="115"/>
      <c r="C18" s="49">
        <f t="shared" si="6"/>
        <v>960</v>
      </c>
      <c r="D18" s="32">
        <v>80</v>
      </c>
      <c r="E18" s="32">
        <v>80</v>
      </c>
      <c r="F18" s="32">
        <v>80</v>
      </c>
      <c r="G18" s="32">
        <v>80</v>
      </c>
      <c r="H18" s="32">
        <v>80</v>
      </c>
      <c r="I18" s="32">
        <v>80</v>
      </c>
      <c r="J18" s="32">
        <v>80</v>
      </c>
      <c r="K18" s="32">
        <v>80</v>
      </c>
      <c r="L18" s="32">
        <v>80</v>
      </c>
      <c r="M18" s="32">
        <v>80</v>
      </c>
      <c r="N18" s="32">
        <v>80</v>
      </c>
      <c r="O18" s="35">
        <v>80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thickBot="1">
      <c r="A19" s="119" t="s">
        <v>40</v>
      </c>
      <c r="B19" s="116"/>
      <c r="C19" s="38">
        <f t="shared" si="6"/>
        <v>72260</v>
      </c>
      <c r="D19" s="38">
        <f t="shared" ref="D19:O19" si="7">SUM(D11:D18)</f>
        <v>480</v>
      </c>
      <c r="E19" s="38">
        <f t="shared" si="7"/>
        <v>80</v>
      </c>
      <c r="F19" s="38">
        <f t="shared" si="7"/>
        <v>80</v>
      </c>
      <c r="G19" s="38">
        <f t="shared" si="7"/>
        <v>80</v>
      </c>
      <c r="H19" s="38">
        <f t="shared" si="7"/>
        <v>80</v>
      </c>
      <c r="I19" s="38">
        <f t="shared" si="7"/>
        <v>2280</v>
      </c>
      <c r="J19" s="38">
        <f t="shared" si="7"/>
        <v>80</v>
      </c>
      <c r="K19" s="38">
        <f t="shared" si="7"/>
        <v>67080</v>
      </c>
      <c r="L19" s="38">
        <f t="shared" si="7"/>
        <v>780</v>
      </c>
      <c r="M19" s="38">
        <f t="shared" si="7"/>
        <v>80</v>
      </c>
      <c r="N19" s="38">
        <f t="shared" si="7"/>
        <v>1080</v>
      </c>
      <c r="O19" s="38">
        <f t="shared" si="7"/>
        <v>80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120" t="s">
        <v>41</v>
      </c>
      <c r="B20" s="117"/>
      <c r="C20" s="41">
        <f t="shared" ref="C20:O20" si="8">C8-C19</f>
        <v>116472.5</v>
      </c>
      <c r="D20" s="41">
        <f t="shared" si="8"/>
        <v>-480</v>
      </c>
      <c r="E20" s="41">
        <f t="shared" si="8"/>
        <v>-80</v>
      </c>
      <c r="F20" s="41">
        <f t="shared" si="8"/>
        <v>-80</v>
      </c>
      <c r="G20" s="41">
        <f t="shared" si="8"/>
        <v>-80</v>
      </c>
      <c r="H20" s="41">
        <f t="shared" si="8"/>
        <v>-80</v>
      </c>
      <c r="I20" s="41">
        <f t="shared" si="8"/>
        <v>-2280</v>
      </c>
      <c r="J20" s="41">
        <f t="shared" si="8"/>
        <v>2120</v>
      </c>
      <c r="K20" s="41">
        <f t="shared" si="8"/>
        <v>119452.5</v>
      </c>
      <c r="L20" s="41">
        <f t="shared" si="8"/>
        <v>-780</v>
      </c>
      <c r="M20" s="41">
        <f t="shared" si="8"/>
        <v>-80</v>
      </c>
      <c r="N20" s="41">
        <f t="shared" si="8"/>
        <v>-1080</v>
      </c>
      <c r="O20" s="41">
        <f t="shared" si="8"/>
        <v>-80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>
      <c r="A21" s="120" t="s">
        <v>42</v>
      </c>
      <c r="B21" s="117"/>
      <c r="C21" s="42"/>
      <c r="D21" s="43">
        <v>0</v>
      </c>
      <c r="E21" s="41">
        <f t="shared" ref="E21:O21" si="9">D22</f>
        <v>-480</v>
      </c>
      <c r="F21" s="41">
        <f t="shared" si="9"/>
        <v>-560</v>
      </c>
      <c r="G21" s="41">
        <f t="shared" si="9"/>
        <v>-640</v>
      </c>
      <c r="H21" s="41">
        <f t="shared" si="9"/>
        <v>-720</v>
      </c>
      <c r="I21" s="41">
        <f t="shared" si="9"/>
        <v>-800</v>
      </c>
      <c r="J21" s="41">
        <f t="shared" si="9"/>
        <v>-3080</v>
      </c>
      <c r="K21" s="41">
        <f t="shared" si="9"/>
        <v>-960</v>
      </c>
      <c r="L21" s="41">
        <f t="shared" si="9"/>
        <v>118492.5</v>
      </c>
      <c r="M21" s="41">
        <f t="shared" si="9"/>
        <v>117712.5</v>
      </c>
      <c r="N21" s="41">
        <f t="shared" si="9"/>
        <v>117632.5</v>
      </c>
      <c r="O21" s="41">
        <f t="shared" si="9"/>
        <v>116552.5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thickBot="1">
      <c r="A22" s="120" t="s">
        <v>43</v>
      </c>
      <c r="B22" s="118"/>
      <c r="C22" s="42">
        <f>O22</f>
        <v>116472.5</v>
      </c>
      <c r="D22" s="42">
        <f t="shared" ref="D22:O22" si="10">D20+D21</f>
        <v>-480</v>
      </c>
      <c r="E22" s="42">
        <f t="shared" si="10"/>
        <v>-560</v>
      </c>
      <c r="F22" s="42">
        <f t="shared" si="10"/>
        <v>-640</v>
      </c>
      <c r="G22" s="42">
        <f t="shared" si="10"/>
        <v>-720</v>
      </c>
      <c r="H22" s="42">
        <f t="shared" si="10"/>
        <v>-800</v>
      </c>
      <c r="I22" s="42">
        <f t="shared" si="10"/>
        <v>-3080</v>
      </c>
      <c r="J22" s="42">
        <f t="shared" si="10"/>
        <v>-960</v>
      </c>
      <c r="K22" s="42">
        <f t="shared" si="10"/>
        <v>118492.5</v>
      </c>
      <c r="L22" s="42">
        <f t="shared" si="10"/>
        <v>117712.5</v>
      </c>
      <c r="M22" s="42">
        <f t="shared" si="10"/>
        <v>117632.5</v>
      </c>
      <c r="N22" s="42">
        <f t="shared" si="10"/>
        <v>116552.5</v>
      </c>
      <c r="O22" s="42">
        <f t="shared" si="10"/>
        <v>116472.5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122"/>
      <c r="B23" s="1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88" t="s">
        <v>105</v>
      </c>
      <c r="B24" s="89"/>
      <c r="C24" s="91" t="s">
        <v>1</v>
      </c>
      <c r="D24" s="91" t="s">
        <v>15</v>
      </c>
      <c r="E24" s="91" t="s">
        <v>16</v>
      </c>
      <c r="F24" s="91" t="s">
        <v>17</v>
      </c>
      <c r="G24" s="91" t="s">
        <v>18</v>
      </c>
      <c r="H24" s="91" t="s">
        <v>19</v>
      </c>
      <c r="I24" s="91" t="s">
        <v>20</v>
      </c>
      <c r="J24" s="91" t="s">
        <v>21</v>
      </c>
      <c r="K24" s="91" t="s">
        <v>22</v>
      </c>
      <c r="L24" s="91" t="s">
        <v>23</v>
      </c>
      <c r="M24" s="91" t="s">
        <v>24</v>
      </c>
      <c r="N24" s="91" t="s">
        <v>25</v>
      </c>
      <c r="O24" s="91" t="s">
        <v>26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90" t="s">
        <v>106</v>
      </c>
      <c r="B25" s="89"/>
      <c r="C25" s="91">
        <f>SUM(D25:O25)</f>
        <v>34950.300000000003</v>
      </c>
      <c r="D25" s="91" t="s">
        <v>44</v>
      </c>
      <c r="E25" s="91"/>
      <c r="F25" s="91"/>
      <c r="G25" s="91"/>
      <c r="H25" s="91"/>
      <c r="I25" s="91"/>
      <c r="J25" s="91"/>
      <c r="K25" s="52"/>
      <c r="L25" s="91"/>
      <c r="M25" s="91"/>
      <c r="N25" s="91">
        <f>SUM((SUM(K4+K6)*0.2)+(SUM(K5*0.05)))</f>
        <v>34950.300000000003</v>
      </c>
      <c r="O25" s="91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90" t="s">
        <v>107</v>
      </c>
      <c r="B26" s="89"/>
      <c r="C26" s="91">
        <f>SUM(D26:O26)</f>
        <v>13400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>
        <f>SUM(K11:K15)*0.2</f>
        <v>13400</v>
      </c>
      <c r="O26" s="91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"/>
      <c r="C27" s="6"/>
      <c r="D27" s="6"/>
      <c r="E27" s="6"/>
      <c r="F27" s="6"/>
      <c r="G27" s="121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"/>
      <c r="C28" s="6"/>
      <c r="D28" s="6"/>
      <c r="E28" s="6"/>
      <c r="F28" s="87"/>
      <c r="G28" s="8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9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</sheetData>
  <sheetProtection algorithmName="SHA-512" hashValue="XQcZsBTkCjoRgSg5+DFQ4k1uyA18sKpX0sZiJYEQ4gbCtnGqlNWaytiIk3hVF8zUY9Ov6x8qHCVsPbsW8sohiw==" saltValue="iReoUzJXv7qC5HThXvgjbw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" footer="0"/>
  <pageSetup scale="75" fitToHeight="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B995"/>
  <sheetViews>
    <sheetView workbookViewId="0">
      <selection activeCell="B6" sqref="B6"/>
    </sheetView>
  </sheetViews>
  <sheetFormatPr defaultColWidth="14.44140625" defaultRowHeight="15" customHeight="1"/>
  <cols>
    <col min="1" max="1" width="33.109375" customWidth="1"/>
    <col min="2" max="2" width="60.33203125" style="79" customWidth="1"/>
    <col min="3" max="26" width="8" customWidth="1"/>
  </cols>
  <sheetData>
    <row r="2" spans="1:2" ht="14.4">
      <c r="A2" t="s">
        <v>85</v>
      </c>
      <c r="B2" s="79" t="s">
        <v>86</v>
      </c>
    </row>
    <row r="3" spans="1:2" s="85" customFormat="1" ht="28.8">
      <c r="A3" s="85" t="s">
        <v>108</v>
      </c>
      <c r="B3" s="79" t="s">
        <v>135</v>
      </c>
    </row>
    <row r="4" spans="1:2" ht="14.4">
      <c r="A4" t="s">
        <v>87</v>
      </c>
      <c r="B4" s="93" t="s">
        <v>148</v>
      </c>
    </row>
    <row r="5" spans="1:2" s="85" customFormat="1" ht="43.2">
      <c r="A5" s="85" t="s">
        <v>123</v>
      </c>
      <c r="B5" s="70" t="s">
        <v>146</v>
      </c>
    </row>
    <row r="6" spans="1:2" ht="63.75" customHeight="1">
      <c r="A6" t="s">
        <v>147</v>
      </c>
      <c r="B6" s="79" t="s">
        <v>136</v>
      </c>
    </row>
    <row r="7" spans="1:2" ht="28.8">
      <c r="A7" s="97" t="s">
        <v>112</v>
      </c>
      <c r="B7" s="93" t="s">
        <v>113</v>
      </c>
    </row>
    <row r="8" spans="1:2" ht="14.4">
      <c r="A8" t="s">
        <v>88</v>
      </c>
      <c r="B8" s="79" t="s">
        <v>89</v>
      </c>
    </row>
    <row r="9" spans="1:2" ht="14.4">
      <c r="A9" t="s">
        <v>90</v>
      </c>
      <c r="B9" s="79" t="s">
        <v>91</v>
      </c>
    </row>
    <row r="10" spans="1:2" ht="43.2">
      <c r="A10" s="54" t="s">
        <v>92</v>
      </c>
      <c r="B10" s="70" t="s">
        <v>93</v>
      </c>
    </row>
    <row r="11" spans="1:2" ht="43.2">
      <c r="A11" t="s">
        <v>38</v>
      </c>
      <c r="B11" s="79" t="s">
        <v>137</v>
      </c>
    </row>
    <row r="12" spans="1:2" ht="43.2">
      <c r="A12" t="s">
        <v>94</v>
      </c>
      <c r="B12" s="93" t="s">
        <v>138</v>
      </c>
    </row>
    <row r="13" spans="1:2" ht="43.2">
      <c r="A13" s="54" t="s">
        <v>39</v>
      </c>
      <c r="B13" s="70" t="s">
        <v>97</v>
      </c>
    </row>
    <row r="14" spans="1:2" ht="50.25" customHeight="1">
      <c r="A14" s="54" t="s">
        <v>119</v>
      </c>
      <c r="B14" s="70" t="s">
        <v>121</v>
      </c>
    </row>
    <row r="16" spans="1: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"/>
  <sheetViews>
    <sheetView workbookViewId="0">
      <selection activeCell="B25" sqref="B25"/>
    </sheetView>
  </sheetViews>
  <sheetFormatPr defaultColWidth="14.44140625" defaultRowHeight="15" customHeight="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7"/>
  <sheetViews>
    <sheetView workbookViewId="0">
      <selection activeCell="C21" sqref="C21:C22"/>
    </sheetView>
  </sheetViews>
  <sheetFormatPr defaultColWidth="14.44140625" defaultRowHeight="15" customHeight="1"/>
  <cols>
    <col min="1" max="1" width="18.6640625" customWidth="1"/>
    <col min="2" max="2" width="6.6640625" customWidth="1"/>
    <col min="3" max="3" width="12.6640625" customWidth="1"/>
    <col min="4" max="4" width="10.33203125" customWidth="1"/>
    <col min="5" max="15" width="10" customWidth="1"/>
    <col min="16" max="26" width="8" customWidth="1"/>
  </cols>
  <sheetData>
    <row r="1" spans="1:26" ht="15.75" customHeight="1" thickBot="1">
      <c r="A1" s="1"/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5" t="s">
        <v>13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4">
      <c r="A2" s="109" t="s">
        <v>14</v>
      </c>
      <c r="B2" s="7"/>
      <c r="C2" s="8"/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  <c r="M2" s="9" t="s">
        <v>24</v>
      </c>
      <c r="N2" s="9" t="s">
        <v>25</v>
      </c>
      <c r="O2" s="10" t="s">
        <v>26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4" hidden="1">
      <c r="A3" s="110"/>
      <c r="B3" s="7"/>
      <c r="C3" s="11"/>
      <c r="D3" s="12">
        <v>18.079999999999998</v>
      </c>
      <c r="E3" s="12">
        <v>12.05</v>
      </c>
      <c r="F3" s="12">
        <v>6.03</v>
      </c>
      <c r="G3" s="12">
        <v>6.03</v>
      </c>
      <c r="H3" s="12"/>
      <c r="I3" s="12"/>
      <c r="J3" s="12"/>
      <c r="K3" s="12"/>
      <c r="L3" s="12">
        <v>8.26</v>
      </c>
      <c r="M3" s="12">
        <v>8.26</v>
      </c>
      <c r="N3" s="12">
        <v>16.52</v>
      </c>
      <c r="O3" s="13">
        <v>24.78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128" customFormat="1" ht="39" customHeight="1" thickBot="1">
      <c r="A4" s="145" t="s">
        <v>144</v>
      </c>
      <c r="B4" s="19"/>
      <c r="C4" s="48">
        <f t="shared" ref="C4" si="0">SUM(D4:O4)</f>
        <v>8701.2926000000007</v>
      </c>
      <c r="D4" s="138">
        <v>0</v>
      </c>
      <c r="E4" s="138">
        <v>0</v>
      </c>
      <c r="F4" s="138">
        <v>0</v>
      </c>
      <c r="G4" s="138">
        <v>0</v>
      </c>
      <c r="H4" s="138">
        <v>0</v>
      </c>
      <c r="I4" s="138">
        <v>0</v>
      </c>
      <c r="J4" s="138">
        <v>0</v>
      </c>
      <c r="K4" s="141">
        <f>'Mensurational data'!F32</f>
        <v>8701.2926000000007</v>
      </c>
      <c r="L4" s="138">
        <v>0</v>
      </c>
      <c r="M4" s="138">
        <v>0</v>
      </c>
      <c r="N4" s="138">
        <v>0</v>
      </c>
      <c r="O4" s="142">
        <v>0</v>
      </c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15.75" customHeight="1" thickBot="1">
      <c r="A5" s="25" t="s">
        <v>28</v>
      </c>
      <c r="B5" s="101"/>
      <c r="C5" s="47">
        <f>SUM(D4:O4)</f>
        <v>8701.2926000000007</v>
      </c>
      <c r="D5" s="26">
        <f>SUM(D4)</f>
        <v>0</v>
      </c>
      <c r="E5" s="26">
        <f t="shared" ref="E5:O5" si="1">SUM(E4)</f>
        <v>0</v>
      </c>
      <c r="F5" s="26">
        <f t="shared" si="1"/>
        <v>0</v>
      </c>
      <c r="G5" s="26">
        <f t="shared" si="1"/>
        <v>0</v>
      </c>
      <c r="H5" s="26">
        <f t="shared" si="1"/>
        <v>0</v>
      </c>
      <c r="I5" s="26">
        <f t="shared" si="1"/>
        <v>0</v>
      </c>
      <c r="J5" s="26">
        <f t="shared" si="1"/>
        <v>0</v>
      </c>
      <c r="K5" s="26">
        <f t="shared" si="1"/>
        <v>8701.2926000000007</v>
      </c>
      <c r="L5" s="26">
        <f t="shared" si="1"/>
        <v>0</v>
      </c>
      <c r="M5" s="26">
        <f t="shared" si="1"/>
        <v>0</v>
      </c>
      <c r="N5" s="26">
        <f t="shared" si="1"/>
        <v>0</v>
      </c>
      <c r="O5" s="26">
        <f t="shared" si="1"/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4">
      <c r="A6" s="109" t="s">
        <v>29</v>
      </c>
      <c r="B6" s="7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110" t="s">
        <v>30</v>
      </c>
      <c r="B7" s="7"/>
      <c r="C7" s="14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>
      <c r="A8" s="112" t="s">
        <v>114</v>
      </c>
      <c r="B8" s="21"/>
      <c r="C8" s="14">
        <f t="shared" ref="C8:C14" si="2">SUM(D8:O8)</f>
        <v>30000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30000</v>
      </c>
      <c r="M8" s="22">
        <v>0</v>
      </c>
      <c r="N8" s="22">
        <v>0</v>
      </c>
      <c r="O8" s="23">
        <v>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4">
      <c r="A9" s="114" t="s">
        <v>36</v>
      </c>
      <c r="B9" s="21"/>
      <c r="C9" s="48">
        <f t="shared" si="2"/>
        <v>1564</v>
      </c>
      <c r="D9" s="22">
        <v>0</v>
      </c>
      <c r="E9" s="22">
        <v>0</v>
      </c>
      <c r="F9" s="22">
        <v>0</v>
      </c>
      <c r="G9" s="22">
        <v>0</v>
      </c>
      <c r="H9" s="15">
        <v>0</v>
      </c>
      <c r="I9" s="15">
        <v>0</v>
      </c>
      <c r="J9" s="15">
        <v>0</v>
      </c>
      <c r="K9" s="15">
        <v>1564</v>
      </c>
      <c r="L9" s="15">
        <v>0</v>
      </c>
      <c r="M9" s="15">
        <v>0</v>
      </c>
      <c r="N9" s="15">
        <v>0</v>
      </c>
      <c r="O9" s="18">
        <v>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4">
      <c r="A10" s="113" t="s">
        <v>33</v>
      </c>
      <c r="B10" s="33"/>
      <c r="C10" s="49">
        <f t="shared" ref="C10:C11" si="3">SUM(D10:O10)</f>
        <v>15523.2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108">
        <f>Restocking!G10</f>
        <v>15523.2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114" t="s">
        <v>34</v>
      </c>
      <c r="B11" s="21"/>
      <c r="C11" s="49">
        <f t="shared" si="3"/>
        <v>5550</v>
      </c>
      <c r="D11" s="32">
        <v>0</v>
      </c>
      <c r="E11" s="32">
        <v>0</v>
      </c>
      <c r="F11" s="32">
        <v>0</v>
      </c>
      <c r="G11" s="32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5550</v>
      </c>
      <c r="N11" s="16">
        <v>0</v>
      </c>
      <c r="O11" s="20">
        <v>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>
      <c r="A12" s="110" t="s">
        <v>37</v>
      </c>
      <c r="B12" s="21"/>
      <c r="C12" s="48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128" customFormat="1" ht="15.75" customHeight="1">
      <c r="A13" s="112" t="s">
        <v>38</v>
      </c>
      <c r="B13" s="21"/>
      <c r="C13" s="48">
        <f t="shared" si="2"/>
        <v>2100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700</v>
      </c>
      <c r="K13" s="32">
        <v>0</v>
      </c>
      <c r="L13" s="32">
        <v>700</v>
      </c>
      <c r="M13" s="32">
        <v>0</v>
      </c>
      <c r="N13" s="32">
        <v>700</v>
      </c>
      <c r="O13" s="35">
        <v>0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.75" customHeight="1" thickBot="1">
      <c r="A14" s="113" t="s">
        <v>39</v>
      </c>
      <c r="B14" s="21"/>
      <c r="C14" s="48">
        <f t="shared" si="2"/>
        <v>960</v>
      </c>
      <c r="D14" s="32">
        <v>80</v>
      </c>
      <c r="E14" s="32">
        <v>80</v>
      </c>
      <c r="F14" s="32">
        <v>80</v>
      </c>
      <c r="G14" s="32">
        <v>80</v>
      </c>
      <c r="H14" s="32">
        <v>80</v>
      </c>
      <c r="I14" s="32">
        <v>80</v>
      </c>
      <c r="J14" s="32">
        <v>80</v>
      </c>
      <c r="K14" s="32">
        <v>80</v>
      </c>
      <c r="L14" s="32">
        <v>80</v>
      </c>
      <c r="M14" s="32">
        <v>80</v>
      </c>
      <c r="N14" s="32">
        <v>80</v>
      </c>
      <c r="O14" s="35">
        <v>80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thickBot="1">
      <c r="A15" s="36" t="s">
        <v>40</v>
      </c>
      <c r="B15" s="37"/>
      <c r="C15" s="38">
        <f t="shared" ref="C15" si="4">SUM(D15:O15)</f>
        <v>55697.2</v>
      </c>
      <c r="D15" s="38">
        <f t="shared" ref="D15:O15" si="5">SUM(D8:D14)</f>
        <v>80</v>
      </c>
      <c r="E15" s="38">
        <f t="shared" si="5"/>
        <v>80</v>
      </c>
      <c r="F15" s="38">
        <f t="shared" si="5"/>
        <v>80</v>
      </c>
      <c r="G15" s="38">
        <f t="shared" si="5"/>
        <v>80</v>
      </c>
      <c r="H15" s="38">
        <f t="shared" si="5"/>
        <v>80</v>
      </c>
      <c r="I15" s="38">
        <f t="shared" si="5"/>
        <v>80</v>
      </c>
      <c r="J15" s="38">
        <f t="shared" si="5"/>
        <v>780</v>
      </c>
      <c r="K15" s="38">
        <f t="shared" si="5"/>
        <v>1644</v>
      </c>
      <c r="L15" s="38">
        <f t="shared" si="5"/>
        <v>30780</v>
      </c>
      <c r="M15" s="38">
        <f t="shared" si="5"/>
        <v>5630</v>
      </c>
      <c r="N15" s="38">
        <f t="shared" si="5"/>
        <v>780</v>
      </c>
      <c r="O15" s="38">
        <f t="shared" si="5"/>
        <v>15603.2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thickBot="1">
      <c r="A16" s="39" t="s">
        <v>41</v>
      </c>
      <c r="B16" s="40"/>
      <c r="C16" s="41">
        <f t="shared" ref="C16:O16" si="6">C5-C15</f>
        <v>-46995.907399999996</v>
      </c>
      <c r="D16" s="41">
        <f t="shared" si="6"/>
        <v>-80</v>
      </c>
      <c r="E16" s="41">
        <f t="shared" si="6"/>
        <v>-80</v>
      </c>
      <c r="F16" s="41">
        <f t="shared" si="6"/>
        <v>-80</v>
      </c>
      <c r="G16" s="41">
        <f t="shared" si="6"/>
        <v>-80</v>
      </c>
      <c r="H16" s="41">
        <f t="shared" si="6"/>
        <v>-80</v>
      </c>
      <c r="I16" s="41">
        <f t="shared" si="6"/>
        <v>-80</v>
      </c>
      <c r="J16" s="41">
        <f t="shared" si="6"/>
        <v>-780</v>
      </c>
      <c r="K16" s="41">
        <f t="shared" si="6"/>
        <v>7057.2926000000007</v>
      </c>
      <c r="L16" s="41">
        <f t="shared" si="6"/>
        <v>-30780</v>
      </c>
      <c r="M16" s="41">
        <f t="shared" si="6"/>
        <v>-5630</v>
      </c>
      <c r="N16" s="41">
        <f t="shared" si="6"/>
        <v>-780</v>
      </c>
      <c r="O16" s="41">
        <f t="shared" si="6"/>
        <v>-15603.2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thickBot="1">
      <c r="A17" s="39" t="s">
        <v>42</v>
      </c>
      <c r="B17" s="40"/>
      <c r="C17" s="42"/>
      <c r="D17" s="43">
        <f>'Year 1'!O22</f>
        <v>116472.5</v>
      </c>
      <c r="E17" s="41">
        <f t="shared" ref="E17:O17" si="7">D18</f>
        <v>116392.5</v>
      </c>
      <c r="F17" s="41">
        <f t="shared" si="7"/>
        <v>116312.5</v>
      </c>
      <c r="G17" s="41">
        <f t="shared" si="7"/>
        <v>116232.5</v>
      </c>
      <c r="H17" s="41">
        <f t="shared" si="7"/>
        <v>116152.5</v>
      </c>
      <c r="I17" s="41">
        <f t="shared" si="7"/>
        <v>116072.5</v>
      </c>
      <c r="J17" s="41">
        <f t="shared" si="7"/>
        <v>115992.5</v>
      </c>
      <c r="K17" s="41">
        <f t="shared" si="7"/>
        <v>115212.5</v>
      </c>
      <c r="L17" s="41">
        <f t="shared" si="7"/>
        <v>122269.7926</v>
      </c>
      <c r="M17" s="41">
        <f t="shared" si="7"/>
        <v>91489.792600000001</v>
      </c>
      <c r="N17" s="41">
        <f t="shared" si="7"/>
        <v>85859.792600000001</v>
      </c>
      <c r="O17" s="41">
        <f t="shared" si="7"/>
        <v>85079.792600000001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thickBot="1">
      <c r="A18" s="39" t="s">
        <v>43</v>
      </c>
      <c r="B18" s="44"/>
      <c r="C18" s="42">
        <f>O18</f>
        <v>69476.592600000004</v>
      </c>
      <c r="D18" s="42">
        <f t="shared" ref="D18:O18" si="8">D16+D17</f>
        <v>116392.5</v>
      </c>
      <c r="E18" s="42">
        <f t="shared" si="8"/>
        <v>116312.5</v>
      </c>
      <c r="F18" s="42">
        <f t="shared" si="8"/>
        <v>116232.5</v>
      </c>
      <c r="G18" s="42">
        <f t="shared" si="8"/>
        <v>116152.5</v>
      </c>
      <c r="H18" s="42">
        <f t="shared" si="8"/>
        <v>116072.5</v>
      </c>
      <c r="I18" s="42">
        <f t="shared" si="8"/>
        <v>115992.5</v>
      </c>
      <c r="J18" s="42">
        <f t="shared" si="8"/>
        <v>115212.5</v>
      </c>
      <c r="K18" s="42">
        <f t="shared" si="8"/>
        <v>122269.7926</v>
      </c>
      <c r="L18" s="42">
        <f t="shared" si="8"/>
        <v>91489.792600000001</v>
      </c>
      <c r="M18" s="42">
        <f t="shared" si="8"/>
        <v>85859.792600000001</v>
      </c>
      <c r="N18" s="42">
        <f t="shared" si="8"/>
        <v>85079.792600000001</v>
      </c>
      <c r="O18" s="42">
        <f t="shared" si="8"/>
        <v>69476.592600000004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88" t="s">
        <v>105</v>
      </c>
      <c r="B20" s="89"/>
      <c r="C20" s="91" t="s">
        <v>1</v>
      </c>
      <c r="D20" s="91" t="s">
        <v>15</v>
      </c>
      <c r="E20" s="91" t="s">
        <v>16</v>
      </c>
      <c r="F20" s="91" t="s">
        <v>17</v>
      </c>
      <c r="G20" s="91" t="s">
        <v>18</v>
      </c>
      <c r="H20" s="91" t="s">
        <v>19</v>
      </c>
      <c r="I20" s="91" t="s">
        <v>20</v>
      </c>
      <c r="J20" s="91" t="s">
        <v>21</v>
      </c>
      <c r="K20" s="91" t="s">
        <v>22</v>
      </c>
      <c r="L20" s="91" t="s">
        <v>23</v>
      </c>
      <c r="M20" s="91" t="s">
        <v>24</v>
      </c>
      <c r="N20" s="91" t="s">
        <v>25</v>
      </c>
      <c r="O20" s="91" t="s">
        <v>26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90" t="s">
        <v>106</v>
      </c>
      <c r="B21" s="89"/>
      <c r="C21" s="91">
        <f>SUM(D21:O21)</f>
        <v>435.06463000000008</v>
      </c>
      <c r="D21" s="91" t="s">
        <v>44</v>
      </c>
      <c r="E21" s="91"/>
      <c r="F21" s="91"/>
      <c r="G21" s="91"/>
      <c r="H21" s="91"/>
      <c r="I21" s="91"/>
      <c r="J21" s="91"/>
      <c r="K21" s="52"/>
      <c r="L21" s="91"/>
      <c r="M21" s="91"/>
      <c r="N21" s="91">
        <f>SUM(K4*0.05)</f>
        <v>435.06463000000008</v>
      </c>
      <c r="O21" s="9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90" t="s">
        <v>107</v>
      </c>
      <c r="B22" s="89"/>
      <c r="C22" s="91">
        <f>SUM(D22:O22)</f>
        <v>6512.8</v>
      </c>
      <c r="D22" s="91"/>
      <c r="E22" s="91">
        <f>SUM('Year 1'!N15)*0.2</f>
        <v>200</v>
      </c>
      <c r="F22" s="91"/>
      <c r="G22" s="91"/>
      <c r="H22" s="91"/>
      <c r="I22" s="91"/>
      <c r="J22" s="91"/>
      <c r="K22" s="91"/>
      <c r="L22" s="91"/>
      <c r="M22" s="91"/>
      <c r="N22" s="91">
        <f>SUM(K8:L9)*0.2</f>
        <v>6312.8</v>
      </c>
      <c r="O22" s="91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9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  <row r="987" spans="1:26" ht="1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</row>
  </sheetData>
  <sheetProtection algorithmName="SHA-512" hashValue="8ikhRFs2SfwIBRaZrUmwftEsCALliIWTXC9+MHtY0tUCyjtRJPmN+dZidb34VbgjEq14YhOim6OFTJOFCb5kmA==" saltValue="r6hbkHUDWHf34aTXNnhzQ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4"/>
  <sheetViews>
    <sheetView workbookViewId="0">
      <selection activeCell="C18" sqref="C18:C19"/>
    </sheetView>
  </sheetViews>
  <sheetFormatPr defaultColWidth="14.44140625" defaultRowHeight="15" customHeight="1"/>
  <cols>
    <col min="1" max="1" width="18.6640625" customWidth="1"/>
    <col min="2" max="2" width="6.6640625" customWidth="1"/>
    <col min="3" max="3" width="12.6640625" customWidth="1"/>
    <col min="4" max="4" width="10.33203125" customWidth="1"/>
    <col min="5" max="15" width="10" customWidth="1"/>
    <col min="16" max="26" width="8" customWidth="1"/>
  </cols>
  <sheetData>
    <row r="1" spans="1:26" ht="15.75" customHeight="1" thickBot="1">
      <c r="A1" s="1"/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5" t="s">
        <v>13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4">
      <c r="A2" s="109" t="s">
        <v>14</v>
      </c>
      <c r="B2" s="86"/>
      <c r="C2" s="8"/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  <c r="M2" s="9" t="s">
        <v>24</v>
      </c>
      <c r="N2" s="9" t="s">
        <v>25</v>
      </c>
      <c r="O2" s="10" t="s">
        <v>26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4" hidden="1">
      <c r="A3" s="110"/>
      <c r="B3" s="86"/>
      <c r="C3" s="11"/>
      <c r="D3" s="12">
        <v>18.079999999999998</v>
      </c>
      <c r="E3" s="12">
        <v>12.05</v>
      </c>
      <c r="F3" s="12">
        <v>6.03</v>
      </c>
      <c r="G3" s="12">
        <v>6.03</v>
      </c>
      <c r="H3" s="12"/>
      <c r="I3" s="12"/>
      <c r="J3" s="12"/>
      <c r="K3" s="12"/>
      <c r="L3" s="12">
        <v>8.26</v>
      </c>
      <c r="M3" s="12">
        <v>8.26</v>
      </c>
      <c r="N3" s="12">
        <v>16.52</v>
      </c>
      <c r="O3" s="13">
        <v>24.78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52.5" customHeight="1" thickBot="1">
      <c r="A4" s="110" t="s">
        <v>133</v>
      </c>
      <c r="B4" s="125"/>
      <c r="C4" s="14">
        <f t="shared" ref="C4" si="0">SUM(D4:O4)</f>
        <v>21835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20">
        <v>21835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thickBot="1">
      <c r="A5" s="25" t="s">
        <v>28</v>
      </c>
      <c r="B5" s="101"/>
      <c r="C5" s="47">
        <f>SUM(D5:O5)</f>
        <v>21835</v>
      </c>
      <c r="D5" s="26">
        <f t="shared" ref="D5:O5" si="1">SUM(D4:D4)</f>
        <v>0</v>
      </c>
      <c r="E5" s="26">
        <f t="shared" si="1"/>
        <v>0</v>
      </c>
      <c r="F5" s="26">
        <f t="shared" si="1"/>
        <v>0</v>
      </c>
      <c r="G5" s="26">
        <f t="shared" si="1"/>
        <v>0</v>
      </c>
      <c r="H5" s="26">
        <f t="shared" si="1"/>
        <v>0</v>
      </c>
      <c r="I5" s="26">
        <f t="shared" si="1"/>
        <v>0</v>
      </c>
      <c r="J5" s="26">
        <f t="shared" si="1"/>
        <v>0</v>
      </c>
      <c r="K5" s="26">
        <f t="shared" si="1"/>
        <v>0</v>
      </c>
      <c r="L5" s="26">
        <f t="shared" si="1"/>
        <v>0</v>
      </c>
      <c r="M5" s="26">
        <f t="shared" si="1"/>
        <v>0</v>
      </c>
      <c r="N5" s="26">
        <f t="shared" si="1"/>
        <v>0</v>
      </c>
      <c r="O5" s="100">
        <f t="shared" si="1"/>
        <v>21835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4">
      <c r="A6" s="109" t="s">
        <v>29</v>
      </c>
      <c r="B6" s="7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110" t="s">
        <v>30</v>
      </c>
      <c r="B7" s="7"/>
      <c r="C7" s="14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>
      <c r="A8" s="114" t="s">
        <v>36</v>
      </c>
      <c r="B8" s="21"/>
      <c r="C8" s="48">
        <f t="shared" ref="C8:C11" si="2">SUM(D8:O8)</f>
        <v>3116</v>
      </c>
      <c r="D8" s="22">
        <v>0</v>
      </c>
      <c r="E8" s="22">
        <v>0</v>
      </c>
      <c r="F8" s="22">
        <v>0</v>
      </c>
      <c r="G8" s="22">
        <v>0</v>
      </c>
      <c r="H8" s="15">
        <v>0</v>
      </c>
      <c r="I8" s="15">
        <v>0</v>
      </c>
      <c r="J8" s="15">
        <v>0</v>
      </c>
      <c r="K8" s="15">
        <v>3116</v>
      </c>
      <c r="L8" s="15">
        <v>0</v>
      </c>
      <c r="M8" s="15">
        <v>0</v>
      </c>
      <c r="N8" s="15">
        <v>0</v>
      </c>
      <c r="O8" s="18">
        <v>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4">
      <c r="A9" s="110" t="s">
        <v>37</v>
      </c>
      <c r="B9" s="21"/>
      <c r="C9" s="48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4">
      <c r="A10" s="113" t="s">
        <v>38</v>
      </c>
      <c r="B10" s="21"/>
      <c r="C10" s="48">
        <f t="shared" si="2"/>
        <v>575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400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8">
        <v>175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thickBot="1">
      <c r="A11" s="113" t="s">
        <v>39</v>
      </c>
      <c r="B11" s="21"/>
      <c r="C11" s="48">
        <f t="shared" si="2"/>
        <v>960</v>
      </c>
      <c r="D11" s="32">
        <v>80</v>
      </c>
      <c r="E11" s="32">
        <v>80</v>
      </c>
      <c r="F11" s="32">
        <v>80</v>
      </c>
      <c r="G11" s="32">
        <v>80</v>
      </c>
      <c r="H11" s="32">
        <v>80</v>
      </c>
      <c r="I11" s="32">
        <v>80</v>
      </c>
      <c r="J11" s="32">
        <v>80</v>
      </c>
      <c r="K11" s="32">
        <v>80</v>
      </c>
      <c r="L11" s="32">
        <v>80</v>
      </c>
      <c r="M11" s="32">
        <v>80</v>
      </c>
      <c r="N11" s="32">
        <v>80</v>
      </c>
      <c r="O11" s="35">
        <v>80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thickBot="1">
      <c r="A12" s="36" t="s">
        <v>40</v>
      </c>
      <c r="B12" s="37"/>
      <c r="C12" s="38">
        <f t="shared" ref="C12" si="3">SUM(D12:O12)</f>
        <v>4651</v>
      </c>
      <c r="D12" s="38">
        <f t="shared" ref="D12:O12" si="4">SUM(D8:D11)</f>
        <v>80</v>
      </c>
      <c r="E12" s="38">
        <f t="shared" si="4"/>
        <v>80</v>
      </c>
      <c r="F12" s="38">
        <f t="shared" si="4"/>
        <v>80</v>
      </c>
      <c r="G12" s="38">
        <f t="shared" si="4"/>
        <v>80</v>
      </c>
      <c r="H12" s="38">
        <f t="shared" si="4"/>
        <v>80</v>
      </c>
      <c r="I12" s="38">
        <f t="shared" si="4"/>
        <v>480</v>
      </c>
      <c r="J12" s="38">
        <f t="shared" si="4"/>
        <v>80</v>
      </c>
      <c r="K12" s="38">
        <f t="shared" si="4"/>
        <v>3196</v>
      </c>
      <c r="L12" s="38">
        <f t="shared" si="4"/>
        <v>80</v>
      </c>
      <c r="M12" s="38">
        <f t="shared" si="4"/>
        <v>80</v>
      </c>
      <c r="N12" s="38">
        <f t="shared" si="4"/>
        <v>80</v>
      </c>
      <c r="O12" s="38">
        <f t="shared" si="4"/>
        <v>255</v>
      </c>
      <c r="P12" s="24"/>
      <c r="Q12" s="123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39" t="s">
        <v>41</v>
      </c>
      <c r="B13" s="40"/>
      <c r="C13" s="41">
        <f t="shared" ref="C13:O13" si="5">C5-C12</f>
        <v>17184</v>
      </c>
      <c r="D13" s="41">
        <f t="shared" si="5"/>
        <v>-80</v>
      </c>
      <c r="E13" s="41">
        <f t="shared" si="5"/>
        <v>-80</v>
      </c>
      <c r="F13" s="41">
        <f t="shared" si="5"/>
        <v>-80</v>
      </c>
      <c r="G13" s="41">
        <f t="shared" si="5"/>
        <v>-80</v>
      </c>
      <c r="H13" s="41">
        <f t="shared" si="5"/>
        <v>-80</v>
      </c>
      <c r="I13" s="41">
        <f t="shared" si="5"/>
        <v>-480</v>
      </c>
      <c r="J13" s="41">
        <f t="shared" si="5"/>
        <v>-80</v>
      </c>
      <c r="K13" s="41">
        <f t="shared" si="5"/>
        <v>-3196</v>
      </c>
      <c r="L13" s="41">
        <f t="shared" si="5"/>
        <v>-80</v>
      </c>
      <c r="M13" s="41">
        <f t="shared" si="5"/>
        <v>-80</v>
      </c>
      <c r="N13" s="41">
        <f t="shared" si="5"/>
        <v>-80</v>
      </c>
      <c r="O13" s="41">
        <f t="shared" si="5"/>
        <v>21580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>
      <c r="A14" s="39" t="s">
        <v>42</v>
      </c>
      <c r="B14" s="40"/>
      <c r="C14" s="42"/>
      <c r="D14" s="43">
        <f>'Year 2'!O18</f>
        <v>69476.592600000004</v>
      </c>
      <c r="E14" s="41">
        <f t="shared" ref="E14:O14" si="6">D15</f>
        <v>69396.592600000004</v>
      </c>
      <c r="F14" s="41">
        <f t="shared" si="6"/>
        <v>69316.592600000004</v>
      </c>
      <c r="G14" s="41">
        <f t="shared" si="6"/>
        <v>69236.592600000004</v>
      </c>
      <c r="H14" s="41">
        <f t="shared" si="6"/>
        <v>69156.592600000004</v>
      </c>
      <c r="I14" s="41">
        <f t="shared" si="6"/>
        <v>69076.592600000004</v>
      </c>
      <c r="J14" s="41">
        <f t="shared" si="6"/>
        <v>68596.592600000004</v>
      </c>
      <c r="K14" s="41">
        <f t="shared" si="6"/>
        <v>68516.592600000004</v>
      </c>
      <c r="L14" s="41">
        <f t="shared" si="6"/>
        <v>65320.592600000004</v>
      </c>
      <c r="M14" s="41">
        <f t="shared" si="6"/>
        <v>65240.592600000004</v>
      </c>
      <c r="N14" s="41">
        <f t="shared" si="6"/>
        <v>65160.592600000004</v>
      </c>
      <c r="O14" s="41">
        <f t="shared" si="6"/>
        <v>65080.592600000004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39" t="s">
        <v>43</v>
      </c>
      <c r="B15" s="44"/>
      <c r="C15" s="42">
        <f>O15</f>
        <v>86660.592600000004</v>
      </c>
      <c r="D15" s="42">
        <f t="shared" ref="D15:O15" si="7">D13+D14</f>
        <v>69396.592600000004</v>
      </c>
      <c r="E15" s="42">
        <f t="shared" si="7"/>
        <v>69316.592600000004</v>
      </c>
      <c r="F15" s="42">
        <f t="shared" si="7"/>
        <v>69236.592600000004</v>
      </c>
      <c r="G15" s="42">
        <f t="shared" si="7"/>
        <v>69156.592600000004</v>
      </c>
      <c r="H15" s="42">
        <f t="shared" si="7"/>
        <v>69076.592600000004</v>
      </c>
      <c r="I15" s="42">
        <f t="shared" si="7"/>
        <v>68596.592600000004</v>
      </c>
      <c r="J15" s="42">
        <f t="shared" si="7"/>
        <v>68516.592600000004</v>
      </c>
      <c r="K15" s="42">
        <f t="shared" si="7"/>
        <v>65320.592600000004</v>
      </c>
      <c r="L15" s="42">
        <f t="shared" si="7"/>
        <v>65240.592600000004</v>
      </c>
      <c r="M15" s="42">
        <f t="shared" si="7"/>
        <v>65160.592600000004</v>
      </c>
      <c r="N15" s="42">
        <f t="shared" si="7"/>
        <v>65080.592600000004</v>
      </c>
      <c r="O15" s="42">
        <f t="shared" si="7"/>
        <v>86660.592600000004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88" t="s">
        <v>105</v>
      </c>
      <c r="B17" s="89"/>
      <c r="C17" s="91" t="s">
        <v>1</v>
      </c>
      <c r="D17" s="91" t="s">
        <v>15</v>
      </c>
      <c r="E17" s="91" t="s">
        <v>16</v>
      </c>
      <c r="F17" s="91" t="s">
        <v>17</v>
      </c>
      <c r="G17" s="91" t="s">
        <v>18</v>
      </c>
      <c r="H17" s="91" t="s">
        <v>19</v>
      </c>
      <c r="I17" s="91" t="s">
        <v>20</v>
      </c>
      <c r="J17" s="91" t="s">
        <v>21</v>
      </c>
      <c r="K17" s="91" t="s">
        <v>22</v>
      </c>
      <c r="L17" s="91" t="s">
        <v>23</v>
      </c>
      <c r="M17" s="91" t="s">
        <v>24</v>
      </c>
      <c r="N17" s="91" t="s">
        <v>25</v>
      </c>
      <c r="O17" s="91" t="s">
        <v>26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90" t="s">
        <v>106</v>
      </c>
      <c r="B18" s="89"/>
      <c r="C18" s="91">
        <f>SUM(D18:O18)</f>
        <v>0</v>
      </c>
      <c r="D18" s="91" t="s">
        <v>44</v>
      </c>
      <c r="E18" s="91"/>
      <c r="F18" s="91"/>
      <c r="G18" s="91"/>
      <c r="H18" s="91"/>
      <c r="I18" s="91"/>
      <c r="J18" s="91"/>
      <c r="K18" s="99"/>
      <c r="L18" s="91"/>
      <c r="M18" s="91"/>
      <c r="N18" s="91"/>
      <c r="O18" s="9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90" t="s">
        <v>107</v>
      </c>
      <c r="B19" s="89"/>
      <c r="C19" s="91">
        <f>SUM(D19:O19)</f>
        <v>4837.84</v>
      </c>
      <c r="D19" s="91"/>
      <c r="E19" s="91">
        <f>SUM('Year 2'!M10:O11)*0.2</f>
        <v>4214.6400000000003</v>
      </c>
      <c r="F19" s="91"/>
      <c r="G19" s="91"/>
      <c r="H19" s="91"/>
      <c r="I19" s="91"/>
      <c r="J19" s="91"/>
      <c r="K19" s="91"/>
      <c r="L19" s="91"/>
      <c r="M19" s="91"/>
      <c r="N19" s="91">
        <f>SUM(K8*0.2)</f>
        <v>623.20000000000005</v>
      </c>
      <c r="O19" s="9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9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4"/>
  <sheetViews>
    <sheetView workbookViewId="0">
      <selection activeCell="C18" sqref="C18:C19"/>
    </sheetView>
  </sheetViews>
  <sheetFormatPr defaultColWidth="14.44140625" defaultRowHeight="15" customHeight="1"/>
  <cols>
    <col min="1" max="1" width="18.6640625" customWidth="1"/>
    <col min="2" max="2" width="6.6640625" customWidth="1"/>
    <col min="3" max="3" width="12.6640625" customWidth="1"/>
    <col min="4" max="4" width="10.33203125" customWidth="1"/>
    <col min="5" max="15" width="10" customWidth="1"/>
    <col min="16" max="26" width="8" customWidth="1"/>
  </cols>
  <sheetData>
    <row r="1" spans="1:26" ht="15.75" customHeight="1" thickBot="1">
      <c r="A1" s="1"/>
      <c r="B1" s="127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5" t="s">
        <v>13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4">
      <c r="A2" s="109" t="s">
        <v>14</v>
      </c>
      <c r="B2" s="86"/>
      <c r="C2" s="8"/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  <c r="M2" s="9" t="s">
        <v>24</v>
      </c>
      <c r="N2" s="9" t="s">
        <v>25</v>
      </c>
      <c r="O2" s="10" t="s">
        <v>26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4" hidden="1">
      <c r="A3" s="110"/>
      <c r="B3" s="86"/>
      <c r="C3" s="11"/>
      <c r="D3" s="12">
        <v>18.079999999999998</v>
      </c>
      <c r="E3" s="12">
        <v>12.05</v>
      </c>
      <c r="F3" s="12">
        <v>6.03</v>
      </c>
      <c r="G3" s="12">
        <v>6.03</v>
      </c>
      <c r="H3" s="12"/>
      <c r="I3" s="12"/>
      <c r="J3" s="12"/>
      <c r="K3" s="12"/>
      <c r="L3" s="12">
        <v>8.26</v>
      </c>
      <c r="M3" s="12">
        <v>8.26</v>
      </c>
      <c r="N3" s="12">
        <v>16.52</v>
      </c>
      <c r="O3" s="13">
        <v>24.78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48" customHeight="1" thickBot="1">
      <c r="A4" s="145" t="s">
        <v>145</v>
      </c>
      <c r="B4" s="126"/>
      <c r="C4" s="48">
        <f t="shared" ref="C4" si="0">SUM(D4:O4)</f>
        <v>10152.983866666667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f>'Mensurational data'!F25</f>
        <v>10152.983866666667</v>
      </c>
      <c r="L4" s="16">
        <v>0</v>
      </c>
      <c r="M4" s="16">
        <v>0</v>
      </c>
      <c r="N4" s="16">
        <v>0</v>
      </c>
      <c r="O4" s="20">
        <v>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thickBot="1">
      <c r="A5" s="25" t="s">
        <v>28</v>
      </c>
      <c r="B5" s="101"/>
      <c r="C5" s="47">
        <f>SUM(D5:O5)</f>
        <v>10152.983866666667</v>
      </c>
      <c r="D5" s="26">
        <f t="shared" ref="D5:O5" si="1">SUM(D4:D4)</f>
        <v>0</v>
      </c>
      <c r="E5" s="26">
        <f t="shared" si="1"/>
        <v>0</v>
      </c>
      <c r="F5" s="26">
        <f t="shared" si="1"/>
        <v>0</v>
      </c>
      <c r="G5" s="26">
        <f t="shared" si="1"/>
        <v>0</v>
      </c>
      <c r="H5" s="26">
        <f t="shared" si="1"/>
        <v>0</v>
      </c>
      <c r="I5" s="26">
        <f t="shared" si="1"/>
        <v>0</v>
      </c>
      <c r="J5" s="26">
        <f t="shared" si="1"/>
        <v>0</v>
      </c>
      <c r="K5" s="26">
        <f t="shared" si="1"/>
        <v>10152.983866666667</v>
      </c>
      <c r="L5" s="26">
        <f t="shared" si="1"/>
        <v>0</v>
      </c>
      <c r="M5" s="26">
        <f t="shared" si="1"/>
        <v>0</v>
      </c>
      <c r="N5" s="26">
        <f t="shared" si="1"/>
        <v>0</v>
      </c>
      <c r="O5" s="102">
        <f t="shared" si="1"/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4">
      <c r="A6" s="109" t="s">
        <v>29</v>
      </c>
      <c r="B6" s="7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110" t="s">
        <v>30</v>
      </c>
      <c r="B7" s="7"/>
      <c r="C7" s="14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>
      <c r="A8" s="114" t="s">
        <v>36</v>
      </c>
      <c r="B8" s="21"/>
      <c r="C8" s="48">
        <f t="shared" ref="C8:C11" si="2">SUM(D8:O8)</f>
        <v>3116</v>
      </c>
      <c r="D8" s="22">
        <v>0</v>
      </c>
      <c r="E8" s="22">
        <v>0</v>
      </c>
      <c r="F8" s="22">
        <v>0</v>
      </c>
      <c r="G8" s="22">
        <v>0</v>
      </c>
      <c r="H8" s="15">
        <v>0</v>
      </c>
      <c r="I8" s="15">
        <v>0</v>
      </c>
      <c r="J8" s="15">
        <v>0</v>
      </c>
      <c r="K8" s="15">
        <v>3116</v>
      </c>
      <c r="L8" s="15">
        <v>0</v>
      </c>
      <c r="M8" s="15">
        <v>0</v>
      </c>
      <c r="N8" s="15">
        <v>0</v>
      </c>
      <c r="O8" s="18">
        <v>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4">
      <c r="A9" s="110" t="s">
        <v>37</v>
      </c>
      <c r="B9" s="21"/>
      <c r="C9" s="48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4">
      <c r="A10" s="113" t="s">
        <v>38</v>
      </c>
      <c r="B10" s="21"/>
      <c r="C10" s="48">
        <f t="shared" si="2"/>
        <v>750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400</v>
      </c>
      <c r="J10" s="15">
        <v>0</v>
      </c>
      <c r="K10" s="15">
        <v>350</v>
      </c>
      <c r="L10" s="15">
        <v>0</v>
      </c>
      <c r="M10" s="15">
        <v>0</v>
      </c>
      <c r="N10" s="15">
        <v>0</v>
      </c>
      <c r="O10" s="18">
        <v>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thickBot="1">
      <c r="A11" s="113" t="s">
        <v>39</v>
      </c>
      <c r="B11" s="21"/>
      <c r="C11" s="48">
        <f t="shared" si="2"/>
        <v>960</v>
      </c>
      <c r="D11" s="32">
        <v>80</v>
      </c>
      <c r="E11" s="32">
        <v>80</v>
      </c>
      <c r="F11" s="32">
        <v>80</v>
      </c>
      <c r="G11" s="32">
        <v>80</v>
      </c>
      <c r="H11" s="32">
        <v>80</v>
      </c>
      <c r="I11" s="32">
        <v>80</v>
      </c>
      <c r="J11" s="32">
        <v>80</v>
      </c>
      <c r="K11" s="32">
        <v>80</v>
      </c>
      <c r="L11" s="32">
        <v>80</v>
      </c>
      <c r="M11" s="32">
        <v>80</v>
      </c>
      <c r="N11" s="32">
        <v>80</v>
      </c>
      <c r="O11" s="35">
        <v>80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thickBot="1">
      <c r="A12" s="36" t="s">
        <v>40</v>
      </c>
      <c r="B12" s="103"/>
      <c r="C12" s="105">
        <f t="shared" ref="C12" si="3">SUM(D12:O12)</f>
        <v>4826</v>
      </c>
      <c r="D12" s="106">
        <f t="shared" ref="D12:O12" si="4">SUM(D8:D11)</f>
        <v>80</v>
      </c>
      <c r="E12" s="106">
        <f t="shared" si="4"/>
        <v>80</v>
      </c>
      <c r="F12" s="106">
        <f t="shared" si="4"/>
        <v>80</v>
      </c>
      <c r="G12" s="106">
        <f t="shared" si="4"/>
        <v>80</v>
      </c>
      <c r="H12" s="106">
        <f t="shared" si="4"/>
        <v>80</v>
      </c>
      <c r="I12" s="106">
        <f t="shared" si="4"/>
        <v>480</v>
      </c>
      <c r="J12" s="106">
        <f t="shared" si="4"/>
        <v>80</v>
      </c>
      <c r="K12" s="106">
        <f t="shared" si="4"/>
        <v>3546</v>
      </c>
      <c r="L12" s="106">
        <f t="shared" si="4"/>
        <v>80</v>
      </c>
      <c r="M12" s="106">
        <f t="shared" si="4"/>
        <v>80</v>
      </c>
      <c r="N12" s="106">
        <f t="shared" si="4"/>
        <v>80</v>
      </c>
      <c r="O12" s="107">
        <f t="shared" si="4"/>
        <v>80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 thickBot="1">
      <c r="A13" s="39" t="s">
        <v>41</v>
      </c>
      <c r="B13" s="40"/>
      <c r="C13" s="104">
        <f t="shared" ref="C13:O13" si="5">C5-C12</f>
        <v>5326.9838666666674</v>
      </c>
      <c r="D13" s="104">
        <f t="shared" si="5"/>
        <v>-80</v>
      </c>
      <c r="E13" s="104">
        <f t="shared" si="5"/>
        <v>-80</v>
      </c>
      <c r="F13" s="104">
        <f t="shared" si="5"/>
        <v>-80</v>
      </c>
      <c r="G13" s="104">
        <f t="shared" si="5"/>
        <v>-80</v>
      </c>
      <c r="H13" s="104">
        <f t="shared" si="5"/>
        <v>-80</v>
      </c>
      <c r="I13" s="104">
        <f t="shared" si="5"/>
        <v>-480</v>
      </c>
      <c r="J13" s="104">
        <f t="shared" si="5"/>
        <v>-80</v>
      </c>
      <c r="K13" s="104">
        <f t="shared" si="5"/>
        <v>6606.9838666666674</v>
      </c>
      <c r="L13" s="104">
        <f t="shared" si="5"/>
        <v>-80</v>
      </c>
      <c r="M13" s="104">
        <f t="shared" si="5"/>
        <v>-80</v>
      </c>
      <c r="N13" s="104">
        <f t="shared" si="5"/>
        <v>-80</v>
      </c>
      <c r="O13" s="104">
        <f t="shared" si="5"/>
        <v>-80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thickBot="1">
      <c r="A14" s="39" t="s">
        <v>42</v>
      </c>
      <c r="B14" s="40"/>
      <c r="C14" s="42"/>
      <c r="D14" s="43">
        <f>'Year 3'!O15</f>
        <v>86660.592600000004</v>
      </c>
      <c r="E14" s="41">
        <f t="shared" ref="E14:O14" si="6">D15</f>
        <v>86580.592600000004</v>
      </c>
      <c r="F14" s="41">
        <f t="shared" si="6"/>
        <v>86500.592600000004</v>
      </c>
      <c r="G14" s="41">
        <f t="shared" si="6"/>
        <v>86420.592600000004</v>
      </c>
      <c r="H14" s="41">
        <f t="shared" si="6"/>
        <v>86340.592600000004</v>
      </c>
      <c r="I14" s="41">
        <f t="shared" si="6"/>
        <v>86260.592600000004</v>
      </c>
      <c r="J14" s="41">
        <f t="shared" si="6"/>
        <v>85780.592600000004</v>
      </c>
      <c r="K14" s="41">
        <f t="shared" si="6"/>
        <v>85700.592600000004</v>
      </c>
      <c r="L14" s="41">
        <f t="shared" si="6"/>
        <v>92307.576466666666</v>
      </c>
      <c r="M14" s="41">
        <f t="shared" si="6"/>
        <v>92227.576466666666</v>
      </c>
      <c r="N14" s="41">
        <f t="shared" si="6"/>
        <v>92147.576466666666</v>
      </c>
      <c r="O14" s="41">
        <f t="shared" si="6"/>
        <v>92067.576466666666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39" t="s">
        <v>43</v>
      </c>
      <c r="B15" s="44"/>
      <c r="C15" s="42">
        <f>O15</f>
        <v>91987.576466666666</v>
      </c>
      <c r="D15" s="42">
        <f t="shared" ref="D15:O15" si="7">D13+D14</f>
        <v>86580.592600000004</v>
      </c>
      <c r="E15" s="42">
        <f t="shared" si="7"/>
        <v>86500.592600000004</v>
      </c>
      <c r="F15" s="42">
        <f t="shared" si="7"/>
        <v>86420.592600000004</v>
      </c>
      <c r="G15" s="42">
        <f t="shared" si="7"/>
        <v>86340.592600000004</v>
      </c>
      <c r="H15" s="42">
        <f t="shared" si="7"/>
        <v>86260.592600000004</v>
      </c>
      <c r="I15" s="42">
        <f t="shared" si="7"/>
        <v>85780.592600000004</v>
      </c>
      <c r="J15" s="42">
        <f t="shared" si="7"/>
        <v>85700.592600000004</v>
      </c>
      <c r="K15" s="42">
        <f t="shared" si="7"/>
        <v>92307.576466666666</v>
      </c>
      <c r="L15" s="42">
        <f t="shared" si="7"/>
        <v>92227.576466666666</v>
      </c>
      <c r="M15" s="42">
        <f t="shared" si="7"/>
        <v>92147.576466666666</v>
      </c>
      <c r="N15" s="42">
        <f t="shared" si="7"/>
        <v>92067.576466666666</v>
      </c>
      <c r="O15" s="42">
        <f t="shared" si="7"/>
        <v>91987.576466666666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88" t="s">
        <v>105</v>
      </c>
      <c r="B17" s="89"/>
      <c r="C17" s="91" t="s">
        <v>1</v>
      </c>
      <c r="D17" s="91" t="s">
        <v>15</v>
      </c>
      <c r="E17" s="91" t="s">
        <v>16</v>
      </c>
      <c r="F17" s="91" t="s">
        <v>17</v>
      </c>
      <c r="G17" s="91" t="s">
        <v>18</v>
      </c>
      <c r="H17" s="91" t="s">
        <v>19</v>
      </c>
      <c r="I17" s="91" t="s">
        <v>20</v>
      </c>
      <c r="J17" s="91" t="s">
        <v>21</v>
      </c>
      <c r="K17" s="91" t="s">
        <v>22</v>
      </c>
      <c r="L17" s="91" t="s">
        <v>23</v>
      </c>
      <c r="M17" s="91" t="s">
        <v>24</v>
      </c>
      <c r="N17" s="91" t="s">
        <v>25</v>
      </c>
      <c r="O17" s="91" t="s">
        <v>26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90" t="s">
        <v>106</v>
      </c>
      <c r="B18" s="89"/>
      <c r="C18" s="91">
        <f>SUM(D18:O18)</f>
        <v>507.64919333333341</v>
      </c>
      <c r="D18" s="91" t="s">
        <v>44</v>
      </c>
      <c r="E18" s="91"/>
      <c r="F18" s="91"/>
      <c r="G18" s="91"/>
      <c r="H18" s="91"/>
      <c r="I18" s="91"/>
      <c r="J18" s="91"/>
      <c r="K18" s="52"/>
      <c r="L18" s="91"/>
      <c r="M18" s="91"/>
      <c r="N18" s="91">
        <f>SUM(K4*0.05)</f>
        <v>507.64919333333341</v>
      </c>
      <c r="O18" s="9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90" t="s">
        <v>107</v>
      </c>
      <c r="B19" s="89"/>
      <c r="C19" s="91">
        <f>SUM(D19:O19)</f>
        <v>623.20000000000005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>
        <f>SUM(K8)*0.2</f>
        <v>623.20000000000005</v>
      </c>
      <c r="O19" s="9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9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4"/>
  <sheetViews>
    <sheetView workbookViewId="0">
      <selection activeCell="C18" sqref="C18:C19"/>
    </sheetView>
  </sheetViews>
  <sheetFormatPr defaultColWidth="14.44140625" defaultRowHeight="15" customHeight="1"/>
  <cols>
    <col min="1" max="1" width="18.6640625" customWidth="1"/>
    <col min="2" max="2" width="6.6640625" customWidth="1"/>
    <col min="3" max="3" width="12.6640625" customWidth="1"/>
    <col min="4" max="4" width="10.33203125" customWidth="1"/>
    <col min="5" max="15" width="10" customWidth="1"/>
    <col min="16" max="26" width="8" customWidth="1"/>
  </cols>
  <sheetData>
    <row r="1" spans="1:26" ht="15.75" customHeight="1" thickBot="1">
      <c r="A1" s="1"/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5" t="s">
        <v>13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4">
      <c r="A2" s="109" t="s">
        <v>14</v>
      </c>
      <c r="B2" s="86"/>
      <c r="C2" s="8"/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  <c r="M2" s="9" t="s">
        <v>24</v>
      </c>
      <c r="N2" s="9" t="s">
        <v>25</v>
      </c>
      <c r="O2" s="10" t="s">
        <v>26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4" hidden="1">
      <c r="A3" s="110"/>
      <c r="B3" s="86"/>
      <c r="C3" s="11"/>
      <c r="D3" s="12">
        <v>18.079999999999998</v>
      </c>
      <c r="E3" s="12">
        <v>12.05</v>
      </c>
      <c r="F3" s="12">
        <v>6.03</v>
      </c>
      <c r="G3" s="12">
        <v>6.03</v>
      </c>
      <c r="H3" s="12"/>
      <c r="I3" s="12"/>
      <c r="J3" s="12"/>
      <c r="K3" s="12"/>
      <c r="L3" s="12">
        <v>8.26</v>
      </c>
      <c r="M3" s="12">
        <v>8.26</v>
      </c>
      <c r="N3" s="12">
        <v>16.52</v>
      </c>
      <c r="O3" s="13">
        <v>24.78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48.6" thickBot="1">
      <c r="A4" s="110" t="s">
        <v>144</v>
      </c>
      <c r="B4" s="124"/>
      <c r="C4" s="48">
        <f t="shared" ref="C4" si="0">SUM(D4:O4)</f>
        <v>8701.2926000000007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f>'Mensurational data'!F32</f>
        <v>8701.2926000000007</v>
      </c>
      <c r="L4" s="16">
        <v>0</v>
      </c>
      <c r="M4" s="16">
        <v>0</v>
      </c>
      <c r="N4" s="16">
        <v>0</v>
      </c>
      <c r="O4" s="20">
        <v>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thickBot="1">
      <c r="A5" s="92" t="s">
        <v>28</v>
      </c>
      <c r="B5" s="46"/>
      <c r="C5" s="47">
        <f>SUM(D5:O5)</f>
        <v>8701.2926000000007</v>
      </c>
      <c r="D5" s="26">
        <f t="shared" ref="D5:O5" si="1">SUM(D4:D4)</f>
        <v>0</v>
      </c>
      <c r="E5" s="26">
        <f t="shared" si="1"/>
        <v>0</v>
      </c>
      <c r="F5" s="26">
        <f t="shared" si="1"/>
        <v>0</v>
      </c>
      <c r="G5" s="26">
        <f t="shared" si="1"/>
        <v>0</v>
      </c>
      <c r="H5" s="26">
        <f t="shared" si="1"/>
        <v>0</v>
      </c>
      <c r="I5" s="26">
        <f t="shared" si="1"/>
        <v>0</v>
      </c>
      <c r="J5" s="26">
        <f t="shared" si="1"/>
        <v>0</v>
      </c>
      <c r="K5" s="26">
        <f t="shared" si="1"/>
        <v>8701.2926000000007</v>
      </c>
      <c r="L5" s="26">
        <f t="shared" si="1"/>
        <v>0</v>
      </c>
      <c r="M5" s="26">
        <f t="shared" si="1"/>
        <v>0</v>
      </c>
      <c r="N5" s="26">
        <f t="shared" si="1"/>
        <v>0</v>
      </c>
      <c r="O5" s="100">
        <f t="shared" si="1"/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4">
      <c r="A6" s="109" t="s">
        <v>29</v>
      </c>
      <c r="B6" s="7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110" t="s">
        <v>30</v>
      </c>
      <c r="B7" s="7"/>
      <c r="C7" s="14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>
      <c r="A8" s="114" t="s">
        <v>36</v>
      </c>
      <c r="B8" s="21"/>
      <c r="C8" s="34">
        <f t="shared" ref="C8" si="2">SUM(D8:O8)</f>
        <v>3116</v>
      </c>
      <c r="D8" s="22">
        <v>0</v>
      </c>
      <c r="E8" s="22">
        <v>0</v>
      </c>
      <c r="F8" s="22">
        <v>0</v>
      </c>
      <c r="G8" s="22">
        <v>0</v>
      </c>
      <c r="H8" s="15">
        <v>0</v>
      </c>
      <c r="I8" s="15">
        <v>0</v>
      </c>
      <c r="J8" s="15">
        <v>0</v>
      </c>
      <c r="K8" s="16">
        <v>3116</v>
      </c>
      <c r="L8" s="15">
        <v>0</v>
      </c>
      <c r="M8" s="15">
        <v>0</v>
      </c>
      <c r="N8" s="15">
        <v>0</v>
      </c>
      <c r="O8" s="18">
        <v>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4">
      <c r="A9" s="110" t="s">
        <v>37</v>
      </c>
      <c r="B9" s="21"/>
      <c r="C9" s="1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4">
      <c r="A10" s="113" t="s">
        <v>38</v>
      </c>
      <c r="B10" s="21"/>
      <c r="C10" s="14">
        <f t="shared" ref="C10:C13" si="3">SUM(D10:O10)</f>
        <v>400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400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8">
        <v>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thickBot="1">
      <c r="A11" s="113" t="s">
        <v>39</v>
      </c>
      <c r="B11" s="21"/>
      <c r="C11" s="34">
        <f t="shared" si="3"/>
        <v>960</v>
      </c>
      <c r="D11" s="32">
        <v>80</v>
      </c>
      <c r="E11" s="32">
        <v>80</v>
      </c>
      <c r="F11" s="32">
        <v>80</v>
      </c>
      <c r="G11" s="32">
        <v>80</v>
      </c>
      <c r="H11" s="32">
        <v>80</v>
      </c>
      <c r="I11" s="32">
        <v>80</v>
      </c>
      <c r="J11" s="32">
        <v>80</v>
      </c>
      <c r="K11" s="32">
        <v>80</v>
      </c>
      <c r="L11" s="32">
        <v>80</v>
      </c>
      <c r="M11" s="32">
        <v>80</v>
      </c>
      <c r="N11" s="32">
        <v>80</v>
      </c>
      <c r="O11" s="35">
        <v>80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thickBot="1">
      <c r="A12" s="36" t="s">
        <v>40</v>
      </c>
      <c r="B12" s="37"/>
      <c r="C12" s="146">
        <f t="shared" si="3"/>
        <v>4476</v>
      </c>
      <c r="D12" s="105">
        <f t="shared" ref="D12:O12" si="4">SUM(D8:D11)</f>
        <v>80</v>
      </c>
      <c r="E12" s="106">
        <f t="shared" si="4"/>
        <v>80</v>
      </c>
      <c r="F12" s="106">
        <f t="shared" si="4"/>
        <v>80</v>
      </c>
      <c r="G12" s="106">
        <f t="shared" si="4"/>
        <v>80</v>
      </c>
      <c r="H12" s="106">
        <f t="shared" si="4"/>
        <v>80</v>
      </c>
      <c r="I12" s="106">
        <f t="shared" si="4"/>
        <v>480</v>
      </c>
      <c r="J12" s="106">
        <f t="shared" si="4"/>
        <v>80</v>
      </c>
      <c r="K12" s="106">
        <f t="shared" si="4"/>
        <v>3196</v>
      </c>
      <c r="L12" s="106">
        <f t="shared" si="4"/>
        <v>80</v>
      </c>
      <c r="M12" s="106">
        <f t="shared" si="4"/>
        <v>80</v>
      </c>
      <c r="N12" s="106">
        <f t="shared" si="4"/>
        <v>80</v>
      </c>
      <c r="O12" s="107">
        <f t="shared" si="4"/>
        <v>80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 thickBot="1">
      <c r="A13" s="39" t="s">
        <v>41</v>
      </c>
      <c r="B13" s="40"/>
      <c r="C13" s="49">
        <f t="shared" si="3"/>
        <v>4225.2926000000007</v>
      </c>
      <c r="D13" s="104">
        <f t="shared" ref="D13:O13" si="5">D5-D12</f>
        <v>-80</v>
      </c>
      <c r="E13" s="104">
        <f t="shared" si="5"/>
        <v>-80</v>
      </c>
      <c r="F13" s="104">
        <f t="shared" si="5"/>
        <v>-80</v>
      </c>
      <c r="G13" s="104">
        <f t="shared" si="5"/>
        <v>-80</v>
      </c>
      <c r="H13" s="104">
        <f t="shared" si="5"/>
        <v>-80</v>
      </c>
      <c r="I13" s="104">
        <f t="shared" si="5"/>
        <v>-480</v>
      </c>
      <c r="J13" s="104">
        <f t="shared" si="5"/>
        <v>-80</v>
      </c>
      <c r="K13" s="104">
        <f t="shared" si="5"/>
        <v>5505.2926000000007</v>
      </c>
      <c r="L13" s="104">
        <f t="shared" si="5"/>
        <v>-80</v>
      </c>
      <c r="M13" s="104">
        <f t="shared" si="5"/>
        <v>-80</v>
      </c>
      <c r="N13" s="104">
        <f t="shared" si="5"/>
        <v>-80</v>
      </c>
      <c r="O13" s="104">
        <f t="shared" si="5"/>
        <v>-80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thickBot="1">
      <c r="A14" s="39" t="s">
        <v>42</v>
      </c>
      <c r="B14" s="40"/>
      <c r="C14" s="42"/>
      <c r="D14" s="43">
        <f>'Year 4'!O15</f>
        <v>91987.576466666666</v>
      </c>
      <c r="E14" s="41">
        <f t="shared" ref="E14:O14" si="6">D15</f>
        <v>91907.576466666666</v>
      </c>
      <c r="F14" s="41">
        <f t="shared" si="6"/>
        <v>91827.576466666666</v>
      </c>
      <c r="G14" s="41">
        <f t="shared" si="6"/>
        <v>91747.576466666666</v>
      </c>
      <c r="H14" s="41">
        <f t="shared" si="6"/>
        <v>91667.576466666666</v>
      </c>
      <c r="I14" s="41">
        <f t="shared" si="6"/>
        <v>91587.576466666666</v>
      </c>
      <c r="J14" s="41">
        <f t="shared" si="6"/>
        <v>91107.576466666666</v>
      </c>
      <c r="K14" s="41">
        <f t="shared" si="6"/>
        <v>91027.576466666666</v>
      </c>
      <c r="L14" s="41">
        <f t="shared" si="6"/>
        <v>96532.869066666666</v>
      </c>
      <c r="M14" s="41">
        <f t="shared" si="6"/>
        <v>96452.869066666666</v>
      </c>
      <c r="N14" s="41">
        <f t="shared" si="6"/>
        <v>96372.869066666666</v>
      </c>
      <c r="O14" s="41">
        <f t="shared" si="6"/>
        <v>96292.869066666666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39" t="s">
        <v>43</v>
      </c>
      <c r="B15" s="44"/>
      <c r="C15" s="42">
        <f>O15</f>
        <v>96212.869066666666</v>
      </c>
      <c r="D15" s="42">
        <f t="shared" ref="D15:O15" si="7">D13+D14</f>
        <v>91907.576466666666</v>
      </c>
      <c r="E15" s="42">
        <f t="shared" si="7"/>
        <v>91827.576466666666</v>
      </c>
      <c r="F15" s="42">
        <f t="shared" si="7"/>
        <v>91747.576466666666</v>
      </c>
      <c r="G15" s="42">
        <f t="shared" si="7"/>
        <v>91667.576466666666</v>
      </c>
      <c r="H15" s="42">
        <f t="shared" si="7"/>
        <v>91587.576466666666</v>
      </c>
      <c r="I15" s="42">
        <f t="shared" si="7"/>
        <v>91107.576466666666</v>
      </c>
      <c r="J15" s="42">
        <f t="shared" si="7"/>
        <v>91027.576466666666</v>
      </c>
      <c r="K15" s="42">
        <f t="shared" si="7"/>
        <v>96532.869066666666</v>
      </c>
      <c r="L15" s="42">
        <f t="shared" si="7"/>
        <v>96452.869066666666</v>
      </c>
      <c r="M15" s="42">
        <f t="shared" si="7"/>
        <v>96372.869066666666</v>
      </c>
      <c r="N15" s="42">
        <f t="shared" si="7"/>
        <v>96292.869066666666</v>
      </c>
      <c r="O15" s="42">
        <f t="shared" si="7"/>
        <v>96212.869066666666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88" t="s">
        <v>105</v>
      </c>
      <c r="B17" s="89"/>
      <c r="C17" s="91" t="s">
        <v>1</v>
      </c>
      <c r="D17" s="91" t="s">
        <v>15</v>
      </c>
      <c r="E17" s="91" t="s">
        <v>16</v>
      </c>
      <c r="F17" s="91" t="s">
        <v>17</v>
      </c>
      <c r="G17" s="91" t="s">
        <v>18</v>
      </c>
      <c r="H17" s="91" t="s">
        <v>19</v>
      </c>
      <c r="I17" s="91" t="s">
        <v>20</v>
      </c>
      <c r="J17" s="91" t="s">
        <v>21</v>
      </c>
      <c r="K17" s="91" t="s">
        <v>22</v>
      </c>
      <c r="L17" s="91" t="s">
        <v>23</v>
      </c>
      <c r="M17" s="91" t="s">
        <v>24</v>
      </c>
      <c r="N17" s="91" t="s">
        <v>25</v>
      </c>
      <c r="O17" s="91" t="s">
        <v>26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90" t="s">
        <v>106</v>
      </c>
      <c r="B18" s="89"/>
      <c r="C18" s="91">
        <f>SUM(D18:O18)</f>
        <v>435.06463000000008</v>
      </c>
      <c r="D18" s="91" t="s">
        <v>44</v>
      </c>
      <c r="E18" s="91"/>
      <c r="F18" s="91"/>
      <c r="G18" s="91"/>
      <c r="H18" s="91"/>
      <c r="I18" s="91"/>
      <c r="J18" s="91"/>
      <c r="K18" s="52"/>
      <c r="L18" s="91"/>
      <c r="M18" s="91"/>
      <c r="N18" s="91">
        <f>K4*0.05</f>
        <v>435.06463000000008</v>
      </c>
      <c r="O18" s="9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90" t="s">
        <v>107</v>
      </c>
      <c r="B19" s="89"/>
      <c r="C19" s="91">
        <f>SUM(D19:O19)</f>
        <v>623.20000000000005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>
        <f>SUM(K8)*0.2</f>
        <v>623.20000000000005</v>
      </c>
      <c r="O19" s="9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9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</sheetData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I1000"/>
  <sheetViews>
    <sheetView workbookViewId="0">
      <selection activeCell="N17" sqref="N17"/>
    </sheetView>
  </sheetViews>
  <sheetFormatPr defaultColWidth="14.44140625" defaultRowHeight="15" customHeight="1"/>
  <cols>
    <col min="1" max="1" width="8" customWidth="1"/>
    <col min="2" max="8" width="10.44140625" customWidth="1"/>
    <col min="9" max="11" width="11" customWidth="1"/>
    <col min="12" max="13" width="9.88671875" customWidth="1"/>
    <col min="14" max="21" width="10.44140625" customWidth="1"/>
    <col min="22" max="22" width="8" customWidth="1"/>
    <col min="23" max="28" width="9.88671875" customWidth="1"/>
    <col min="29" max="32" width="8" customWidth="1"/>
    <col min="33" max="36" width="9.88671875" customWidth="1"/>
    <col min="37" max="37" width="11" customWidth="1"/>
    <col min="38" max="43" width="9.88671875" customWidth="1"/>
    <col min="44" max="45" width="10.44140625" customWidth="1"/>
    <col min="46" max="49" width="11" customWidth="1"/>
    <col min="50" max="50" width="13.109375" customWidth="1"/>
    <col min="51" max="51" width="12" customWidth="1"/>
    <col min="52" max="53" width="11.6640625" customWidth="1"/>
    <col min="54" max="54" width="10" customWidth="1"/>
    <col min="55" max="56" width="9.88671875" customWidth="1"/>
    <col min="57" max="61" width="11" customWidth="1"/>
  </cols>
  <sheetData>
    <row r="1" spans="1:61" ht="14.4">
      <c r="A1" t="s">
        <v>117</v>
      </c>
      <c r="B1" t="s">
        <v>15</v>
      </c>
      <c r="C1" t="s">
        <v>16</v>
      </c>
      <c r="D1" t="s">
        <v>17</v>
      </c>
      <c r="E1" t="s">
        <v>115</v>
      </c>
      <c r="F1" s="98" t="s">
        <v>19</v>
      </c>
      <c r="G1" s="98" t="s">
        <v>20</v>
      </c>
      <c r="H1" s="98" t="s">
        <v>21</v>
      </c>
      <c r="I1" s="98" t="s">
        <v>22</v>
      </c>
      <c r="J1" s="98" t="s">
        <v>23</v>
      </c>
      <c r="K1" s="98" t="s">
        <v>24</v>
      </c>
      <c r="L1" s="98" t="s">
        <v>25</v>
      </c>
      <c r="M1" s="98" t="s">
        <v>26</v>
      </c>
      <c r="N1" s="98" t="s">
        <v>15</v>
      </c>
      <c r="O1" s="98" t="s">
        <v>16</v>
      </c>
      <c r="P1" s="98" t="s">
        <v>17</v>
      </c>
      <c r="Q1" s="98" t="s">
        <v>18</v>
      </c>
      <c r="R1" s="98" t="s">
        <v>19</v>
      </c>
      <c r="S1" s="98" t="s">
        <v>20</v>
      </c>
      <c r="T1" s="98" t="s">
        <v>21</v>
      </c>
      <c r="U1" s="98" t="s">
        <v>22</v>
      </c>
      <c r="V1" s="98" t="s">
        <v>23</v>
      </c>
      <c r="W1" s="98" t="s">
        <v>24</v>
      </c>
      <c r="X1" s="98" t="s">
        <v>25</v>
      </c>
      <c r="Y1" s="98" t="s">
        <v>26</v>
      </c>
      <c r="Z1" s="98" t="s">
        <v>15</v>
      </c>
      <c r="AA1" s="98" t="s">
        <v>16</v>
      </c>
      <c r="AB1" s="98" t="s">
        <v>17</v>
      </c>
      <c r="AC1" s="98" t="s">
        <v>18</v>
      </c>
      <c r="AD1" s="98" t="s">
        <v>19</v>
      </c>
      <c r="AE1" s="98" t="s">
        <v>20</v>
      </c>
      <c r="AF1" s="98" t="s">
        <v>21</v>
      </c>
      <c r="AG1" s="98" t="s">
        <v>22</v>
      </c>
      <c r="AH1" s="98" t="s">
        <v>23</v>
      </c>
      <c r="AI1" s="98" t="s">
        <v>24</v>
      </c>
      <c r="AJ1" s="98" t="s">
        <v>25</v>
      </c>
      <c r="AK1" s="98" t="s">
        <v>26</v>
      </c>
      <c r="AL1" s="98" t="s">
        <v>15</v>
      </c>
      <c r="AM1" s="98" t="s">
        <v>16</v>
      </c>
      <c r="AN1" s="98" t="s">
        <v>17</v>
      </c>
      <c r="AO1" s="98" t="s">
        <v>18</v>
      </c>
      <c r="AP1" s="98" t="s">
        <v>19</v>
      </c>
      <c r="AQ1" s="98" t="s">
        <v>20</v>
      </c>
      <c r="AR1" s="98" t="s">
        <v>21</v>
      </c>
      <c r="AS1" s="98" t="s">
        <v>22</v>
      </c>
      <c r="AT1" s="98" t="s">
        <v>23</v>
      </c>
      <c r="AU1" s="98" t="s">
        <v>24</v>
      </c>
      <c r="AV1" s="98" t="s">
        <v>25</v>
      </c>
      <c r="AW1" s="98" t="s">
        <v>26</v>
      </c>
      <c r="AX1" s="98" t="s">
        <v>15</v>
      </c>
      <c r="AY1" s="98" t="s">
        <v>16</v>
      </c>
      <c r="AZ1" s="98" t="s">
        <v>17</v>
      </c>
      <c r="BA1" s="98" t="s">
        <v>18</v>
      </c>
      <c r="BB1" s="98" t="s">
        <v>19</v>
      </c>
      <c r="BC1" s="98" t="s">
        <v>20</v>
      </c>
      <c r="BD1" s="98" t="s">
        <v>21</v>
      </c>
      <c r="BE1" s="98" t="s">
        <v>22</v>
      </c>
      <c r="BF1" s="98" t="s">
        <v>23</v>
      </c>
      <c r="BG1" s="98" t="s">
        <v>24</v>
      </c>
      <c r="BH1" s="98" t="s">
        <v>25</v>
      </c>
      <c r="BI1" s="98" t="s">
        <v>26</v>
      </c>
    </row>
    <row r="2" spans="1:61" ht="14.4">
      <c r="A2" t="s">
        <v>116</v>
      </c>
      <c r="B2" s="84">
        <f>'Year 1'!D22</f>
        <v>-480</v>
      </c>
      <c r="C2" s="84">
        <f>'Year 1'!E22</f>
        <v>-560</v>
      </c>
      <c r="D2" s="84">
        <f>'Year 1'!F22</f>
        <v>-640</v>
      </c>
      <c r="E2" s="84">
        <f>'Year 1'!G22</f>
        <v>-720</v>
      </c>
      <c r="F2" s="84">
        <f>'Year 1'!H22</f>
        <v>-800</v>
      </c>
      <c r="G2" s="84">
        <f>'Year 1'!I22</f>
        <v>-3080</v>
      </c>
      <c r="H2" s="84">
        <f>'Year 1'!J22</f>
        <v>-960</v>
      </c>
      <c r="I2" s="84">
        <f>'Year 1'!K22</f>
        <v>118492.5</v>
      </c>
      <c r="J2" s="84">
        <f>'Year 1'!L22</f>
        <v>117712.5</v>
      </c>
      <c r="K2" s="84">
        <f>'Year 1'!M22</f>
        <v>117632.5</v>
      </c>
      <c r="L2" s="84">
        <f>'Year 1'!N22</f>
        <v>116552.5</v>
      </c>
      <c r="M2" s="84">
        <f>'Year 1'!O22</f>
        <v>116472.5</v>
      </c>
      <c r="N2" s="84">
        <f>'Year 2'!D17</f>
        <v>116472.5</v>
      </c>
      <c r="O2" s="84">
        <f>'Year 2'!E17</f>
        <v>116392.5</v>
      </c>
      <c r="P2" s="84">
        <f>'Year 2'!F17</f>
        <v>116312.5</v>
      </c>
      <c r="Q2" s="84">
        <f>'Year 2'!G17</f>
        <v>116232.5</v>
      </c>
      <c r="R2" s="84">
        <f>'Year 2'!H17</f>
        <v>116152.5</v>
      </c>
      <c r="S2" s="84">
        <f>'Year 2'!I17</f>
        <v>116072.5</v>
      </c>
      <c r="T2" s="84">
        <f>'Year 2'!J17</f>
        <v>115992.5</v>
      </c>
      <c r="U2" s="84">
        <f>'Year 2'!K17</f>
        <v>115212.5</v>
      </c>
      <c r="V2" s="84">
        <f>'Year 2'!L17</f>
        <v>122269.7926</v>
      </c>
      <c r="W2" s="84">
        <f>'Year 2'!M17</f>
        <v>91489.792600000001</v>
      </c>
      <c r="X2" s="84">
        <f>'Year 2'!N17</f>
        <v>85859.792600000001</v>
      </c>
      <c r="Y2" s="84">
        <f>'Year 2'!O17</f>
        <v>85079.792600000001</v>
      </c>
      <c r="Z2" s="84">
        <f>'Year 3'!D14</f>
        <v>69476.592600000004</v>
      </c>
      <c r="AA2" s="84">
        <f>'Year 3'!E14</f>
        <v>69396.592600000004</v>
      </c>
      <c r="AB2" s="84">
        <f>'Year 3'!F14</f>
        <v>69316.592600000004</v>
      </c>
      <c r="AC2" s="84">
        <f>'Year 3'!G14</f>
        <v>69236.592600000004</v>
      </c>
      <c r="AD2" s="84">
        <f>'Year 3'!H14</f>
        <v>69156.592600000004</v>
      </c>
      <c r="AE2" s="84">
        <f>'Year 3'!I14</f>
        <v>69076.592600000004</v>
      </c>
      <c r="AF2" s="84">
        <f>'Year 3'!J14</f>
        <v>68596.592600000004</v>
      </c>
      <c r="AG2" s="84">
        <f>'Year 3'!K14</f>
        <v>68516.592600000004</v>
      </c>
      <c r="AH2" s="84">
        <f>'Year 3'!L14</f>
        <v>65320.592600000004</v>
      </c>
      <c r="AI2" s="84">
        <f>'Year 3'!M14</f>
        <v>65240.592600000004</v>
      </c>
      <c r="AJ2" s="84">
        <f>'Year 3'!N14</f>
        <v>65160.592600000004</v>
      </c>
      <c r="AK2" s="84">
        <f>'Year 3'!O14</f>
        <v>65080.592600000004</v>
      </c>
      <c r="AL2" s="84">
        <f>'Year 4'!D14</f>
        <v>86660.592600000004</v>
      </c>
      <c r="AM2" s="84">
        <f>'Year 4'!E14</f>
        <v>86580.592600000004</v>
      </c>
      <c r="AN2" s="84">
        <f>'Year 4'!F14</f>
        <v>86500.592600000004</v>
      </c>
      <c r="AO2" s="84">
        <f>'Year 4'!G14</f>
        <v>86420.592600000004</v>
      </c>
      <c r="AP2" s="84">
        <f>'Year 4'!H14</f>
        <v>86340.592600000004</v>
      </c>
      <c r="AQ2" s="84">
        <f>'Year 4'!I14</f>
        <v>86260.592600000004</v>
      </c>
      <c r="AR2" s="84">
        <f>'Year 4'!J14</f>
        <v>85780.592600000004</v>
      </c>
      <c r="AS2" s="84">
        <f>'Year 4'!K14</f>
        <v>85700.592600000004</v>
      </c>
      <c r="AT2" s="84">
        <f>'Year 4'!L14</f>
        <v>92307.576466666666</v>
      </c>
      <c r="AU2" s="84">
        <f>'Year 4'!M14</f>
        <v>92227.576466666666</v>
      </c>
      <c r="AV2" s="84">
        <f>'Year 4'!N14</f>
        <v>92147.576466666666</v>
      </c>
      <c r="AW2" s="84">
        <f>'Year 4'!O14</f>
        <v>92067.576466666666</v>
      </c>
      <c r="AX2" s="84">
        <f>'Year 5'!D14</f>
        <v>91987.576466666666</v>
      </c>
      <c r="AY2" s="84">
        <f>'Year 5'!E14</f>
        <v>91907.576466666666</v>
      </c>
      <c r="AZ2" s="84">
        <f>'Year 5'!F14</f>
        <v>91827.576466666666</v>
      </c>
      <c r="BA2" s="84">
        <f>'Year 5'!G14</f>
        <v>91747.576466666666</v>
      </c>
      <c r="BB2" s="84">
        <f>'Year 5'!H14</f>
        <v>91667.576466666666</v>
      </c>
      <c r="BC2" s="84">
        <f>'Year 5'!I14</f>
        <v>91587.576466666666</v>
      </c>
      <c r="BD2" s="84">
        <f>'Year 5'!J14</f>
        <v>91107.576466666666</v>
      </c>
      <c r="BE2" s="84">
        <f>'Year 5'!K14</f>
        <v>91027.576466666666</v>
      </c>
      <c r="BF2" s="84">
        <f>'Year 5'!L14</f>
        <v>96532.869066666666</v>
      </c>
      <c r="BG2" s="84">
        <f>'Year 5'!M14</f>
        <v>96452.869066666666</v>
      </c>
      <c r="BH2" s="84">
        <f>'Year 5'!N14</f>
        <v>96372.869066666666</v>
      </c>
      <c r="BI2" s="84">
        <f>'Year 5'!O14</f>
        <v>96292.869066666666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BDXJ3XRDP/Lgs2Fqy4kh9+ZxDj+PdSGw+O3VgrP/rHXS861wQmLv2vETqdZ5IgLwh3x0ysse4SelNCNkGBPWTQ==" saltValue="fLwiPUhCywfUvKYKyfvYrQ==" spinCount="100000" sheet="1" objects="1" scenarios="1" formatCells="0" formatColumns="0" formatRows="0" insertColumns="0" insertRows="0" insertHyperlinks="0" deleteColumns="0" deleteRows="0" sort="0"/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00"/>
  <sheetViews>
    <sheetView workbookViewId="0">
      <selection activeCell="D16" sqref="D16"/>
    </sheetView>
  </sheetViews>
  <sheetFormatPr defaultColWidth="14.44140625" defaultRowHeight="15" customHeight="1"/>
  <cols>
    <col min="1" max="1" width="19" customWidth="1"/>
    <col min="2" max="5" width="11.109375" customWidth="1"/>
    <col min="6" max="6" width="11.44140625" customWidth="1"/>
    <col min="7" max="7" width="12.6640625" customWidth="1"/>
    <col min="8" max="26" width="8" customWidth="1"/>
  </cols>
  <sheetData>
    <row r="1" spans="1:7" ht="14.4">
      <c r="A1" t="s">
        <v>109</v>
      </c>
    </row>
    <row r="2" spans="1:7" ht="26.4">
      <c r="B2" s="50" t="s">
        <v>45</v>
      </c>
      <c r="C2" s="50" t="s">
        <v>46</v>
      </c>
      <c r="D2" s="50" t="s">
        <v>47</v>
      </c>
      <c r="E2" s="50" t="s">
        <v>48</v>
      </c>
      <c r="F2" s="50" t="s">
        <v>49</v>
      </c>
      <c r="G2" s="50" t="s">
        <v>120</v>
      </c>
    </row>
    <row r="3" spans="1:7" ht="14.4">
      <c r="B3" s="50"/>
      <c r="C3" s="50"/>
      <c r="D3" s="50"/>
      <c r="E3" s="50"/>
      <c r="F3" s="50"/>
    </row>
    <row r="4" spans="1:7" ht="14.4">
      <c r="A4" t="s">
        <v>50</v>
      </c>
      <c r="B4" s="51">
        <f>'Year 1'!C8</f>
        <v>188732.5</v>
      </c>
      <c r="C4" s="51">
        <f>'Year 2'!C5</f>
        <v>8701.2926000000007</v>
      </c>
      <c r="D4" s="51">
        <f>'Year 3'!C5</f>
        <v>21835</v>
      </c>
      <c r="E4" s="51">
        <f>'Year 4'!C5</f>
        <v>10152.983866666667</v>
      </c>
      <c r="F4" s="51">
        <f>'Year 5'!C5</f>
        <v>8701.2926000000007</v>
      </c>
      <c r="G4" s="52">
        <f>SUM(B4:F4)/5</f>
        <v>47624.61381333333</v>
      </c>
    </row>
    <row r="5" spans="1:7" ht="14.4">
      <c r="B5" s="52"/>
      <c r="C5" s="52"/>
      <c r="D5" s="52"/>
      <c r="E5" s="52"/>
      <c r="F5" s="52"/>
      <c r="G5" s="52"/>
    </row>
    <row r="6" spans="1:7" ht="14.4">
      <c r="A6" t="s">
        <v>51</v>
      </c>
      <c r="B6" s="52">
        <f>SUM('Year 1'!C13:C15)</f>
        <v>28000</v>
      </c>
      <c r="C6" s="52">
        <f>SUM('Year 2'!C8:C9)</f>
        <v>31564</v>
      </c>
      <c r="D6" s="52">
        <f>SUM('Year 3'!C8:C8)</f>
        <v>3116</v>
      </c>
      <c r="E6" s="52">
        <f>SUM('Year 4'!C8:C8)</f>
        <v>3116</v>
      </c>
      <c r="F6" s="52">
        <f>SUM('Year 5'!C8:C8)</f>
        <v>3116</v>
      </c>
      <c r="G6" s="52">
        <f t="shared" ref="G6:G12" si="0">SUM(B6:F6)/5</f>
        <v>13782.4</v>
      </c>
    </row>
    <row r="7" spans="1:7" ht="14.4">
      <c r="B7" s="52"/>
      <c r="C7" s="52"/>
      <c r="D7" s="52"/>
      <c r="E7" s="52"/>
      <c r="F7" s="52"/>
      <c r="G7" s="52"/>
    </row>
    <row r="8" spans="1:7" ht="14.4">
      <c r="A8" s="53" t="s">
        <v>52</v>
      </c>
      <c r="B8" s="52">
        <f>SUM('Year 1'!C17:C18)</f>
        <v>4260</v>
      </c>
      <c r="C8" s="52">
        <f>SUM('Year 2'!C14:C14)</f>
        <v>960</v>
      </c>
      <c r="D8" s="52">
        <f>SUM('Year 3'!C10:C11)</f>
        <v>1535</v>
      </c>
      <c r="E8" s="52">
        <f>SUM('Year 4'!C10:C11)</f>
        <v>1710</v>
      </c>
      <c r="F8" s="52">
        <f>SUM('Year 5'!C10:C11)</f>
        <v>1360</v>
      </c>
      <c r="G8" s="52">
        <f t="shared" si="0"/>
        <v>1965</v>
      </c>
    </row>
    <row r="9" spans="1:7" ht="14.4">
      <c r="B9" s="52"/>
      <c r="C9" s="52"/>
      <c r="D9" s="52"/>
      <c r="E9" s="52"/>
      <c r="F9" s="52"/>
      <c r="G9" s="52"/>
    </row>
    <row r="10" spans="1:7" ht="14.4">
      <c r="A10" t="s">
        <v>53</v>
      </c>
      <c r="B10" s="51">
        <f t="shared" ref="B10" si="1">$B$6*0.1</f>
        <v>2800</v>
      </c>
      <c r="C10" s="51">
        <f>SUM($B$6+$C$6)*0.1</f>
        <v>5956.4000000000005</v>
      </c>
      <c r="D10" s="51">
        <f t="shared" ref="D10:F10" si="2">SUM($B$6+$C$6)*0.1</f>
        <v>5956.4000000000005</v>
      </c>
      <c r="E10" s="51">
        <f t="shared" si="2"/>
        <v>5956.4000000000005</v>
      </c>
      <c r="F10" s="51">
        <f t="shared" si="2"/>
        <v>5956.4000000000005</v>
      </c>
      <c r="G10" s="52">
        <f t="shared" si="0"/>
        <v>5325.1200000000008</v>
      </c>
    </row>
    <row r="11" spans="1:7" ht="14.4">
      <c r="B11" s="51"/>
      <c r="C11" s="51"/>
      <c r="D11" s="51"/>
      <c r="E11" s="51"/>
      <c r="F11" s="51"/>
      <c r="G11" s="52"/>
    </row>
    <row r="12" spans="1:7" ht="14.4">
      <c r="A12" s="54" t="s">
        <v>54</v>
      </c>
      <c r="B12" s="52">
        <f t="shared" ref="B12:F12" si="3">B4-SUM(B6:B10)</f>
        <v>153672.5</v>
      </c>
      <c r="C12" s="52">
        <f t="shared" si="3"/>
        <v>-29779.107400000001</v>
      </c>
      <c r="D12" s="52">
        <f t="shared" si="3"/>
        <v>11227.599999999999</v>
      </c>
      <c r="E12" s="52">
        <f t="shared" si="3"/>
        <v>-629.41613333333407</v>
      </c>
      <c r="F12" s="52">
        <f t="shared" si="3"/>
        <v>-1731.1074000000008</v>
      </c>
      <c r="G12" s="52">
        <f t="shared" si="0"/>
        <v>26552.093813333329</v>
      </c>
    </row>
    <row r="13" spans="1:7" ht="14.4">
      <c r="B13" s="52"/>
      <c r="C13" s="52"/>
      <c r="D13" s="52"/>
      <c r="E13" s="52"/>
      <c r="F13" s="52"/>
    </row>
    <row r="15" spans="1:7" ht="14.4">
      <c r="B15" s="52"/>
      <c r="C15" s="52"/>
      <c r="D15" s="52"/>
      <c r="E15" s="52"/>
      <c r="F15" s="52"/>
    </row>
    <row r="17" spans="6:6" ht="14.4">
      <c r="F17" s="52"/>
    </row>
    <row r="21" spans="6:6" ht="15.75" customHeight="1"/>
    <row r="22" spans="6:6" ht="15.75" customHeight="1"/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eWMHQq09G4uF8fvbfktHvT191v9/qT9J/lF8zLoYtgjw0q1gSaZSWSFKXpVfwkDq1ieoKQbFWGeZfHccKWyS+Q==" saltValue="YC7eyCc9AaSy326NL0JZ3w==" spinCount="100000" sheet="1" objects="1" scenarios="1" formatCells="0" formatColumns="0" formatRows="0" insertColumns="0" insertRows="0" insertHyperlinks="0" deleteColumns="0" deleteRows="0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000"/>
  <sheetViews>
    <sheetView workbookViewId="0">
      <selection activeCell="I9" sqref="I9:J9"/>
    </sheetView>
  </sheetViews>
  <sheetFormatPr defaultColWidth="14.44140625" defaultRowHeight="15" customHeight="1"/>
  <cols>
    <col min="1" max="1" width="11.109375" customWidth="1"/>
    <col min="2" max="2" width="10.88671875" customWidth="1"/>
    <col min="3" max="3" width="11.33203125" customWidth="1"/>
    <col min="4" max="4" width="11.44140625" customWidth="1"/>
    <col min="5" max="5" width="11.33203125" customWidth="1"/>
    <col min="6" max="6" width="12.33203125" customWidth="1"/>
    <col min="7" max="7" width="15.88671875" customWidth="1"/>
    <col min="8" max="9" width="12.44140625" bestFit="1" customWidth="1"/>
    <col min="10" max="10" width="34.6640625" customWidth="1"/>
    <col min="11" max="12" width="18" customWidth="1"/>
    <col min="13" max="13" width="12.44140625" customWidth="1"/>
    <col min="14" max="17" width="8" customWidth="1"/>
    <col min="18" max="18" width="11" customWidth="1"/>
    <col min="19" max="27" width="8" customWidth="1"/>
  </cols>
  <sheetData>
    <row r="1" spans="1:18" ht="15.75" customHeight="1">
      <c r="A1" t="s">
        <v>55</v>
      </c>
    </row>
    <row r="2" spans="1:18" ht="51.75" customHeight="1">
      <c r="A2" s="55" t="s">
        <v>56</v>
      </c>
      <c r="B2" s="56" t="s">
        <v>57</v>
      </c>
      <c r="C2" s="56" t="s">
        <v>58</v>
      </c>
      <c r="D2" s="56" t="s">
        <v>59</v>
      </c>
      <c r="E2" s="56" t="s">
        <v>60</v>
      </c>
      <c r="F2" s="56" t="s">
        <v>61</v>
      </c>
      <c r="G2" s="56" t="s">
        <v>62</v>
      </c>
      <c r="H2" s="56" t="s">
        <v>63</v>
      </c>
      <c r="I2" s="56" t="s">
        <v>64</v>
      </c>
      <c r="J2" s="56" t="s">
        <v>65</v>
      </c>
    </row>
    <row r="3" spans="1:18" ht="15.75" customHeight="1">
      <c r="A3" s="57" t="s">
        <v>66</v>
      </c>
      <c r="B3" s="58">
        <v>39.700000000000003</v>
      </c>
      <c r="C3" s="58">
        <v>1034</v>
      </c>
      <c r="D3" s="58">
        <v>20</v>
      </c>
      <c r="E3" s="58">
        <v>15</v>
      </c>
      <c r="F3" s="58">
        <v>24</v>
      </c>
      <c r="G3" s="58">
        <v>0.21199999999999999</v>
      </c>
      <c r="H3" s="59">
        <f t="shared" ref="H3:H5" si="0">C3*G3</f>
        <v>219.208</v>
      </c>
      <c r="I3" s="58">
        <v>50</v>
      </c>
      <c r="J3" s="60">
        <f>SUM(B3*H3)*0.5</f>
        <v>4351.2788</v>
      </c>
    </row>
    <row r="4" spans="1:18" ht="15.75" customHeight="1">
      <c r="A4" s="57" t="s">
        <v>67</v>
      </c>
      <c r="B4" s="58">
        <v>23.1</v>
      </c>
      <c r="C4" s="58">
        <v>750</v>
      </c>
      <c r="D4" s="58">
        <v>30</v>
      </c>
      <c r="E4" s="58">
        <v>24</v>
      </c>
      <c r="F4" s="58">
        <v>38</v>
      </c>
      <c r="G4" s="58">
        <v>0.8</v>
      </c>
      <c r="H4" s="59">
        <f t="shared" si="0"/>
        <v>600</v>
      </c>
      <c r="I4" s="58">
        <v>15</v>
      </c>
      <c r="J4" s="60">
        <f>SUM(B4*H4)*0.85</f>
        <v>11781</v>
      </c>
    </row>
    <row r="5" spans="1:18" ht="15.75" customHeight="1">
      <c r="A5" s="57" t="s">
        <v>68</v>
      </c>
      <c r="B5" s="58">
        <v>15.4</v>
      </c>
      <c r="C5" s="58">
        <v>887</v>
      </c>
      <c r="D5" s="58">
        <v>24</v>
      </c>
      <c r="E5" s="58">
        <v>18</v>
      </c>
      <c r="F5" s="58">
        <v>30</v>
      </c>
      <c r="G5" s="58">
        <v>0.39</v>
      </c>
      <c r="H5" s="59">
        <f t="shared" si="0"/>
        <v>345.93</v>
      </c>
      <c r="I5" s="58">
        <v>30</v>
      </c>
      <c r="J5" s="60">
        <f>SUM(B5*H5)*0.7</f>
        <v>3729.1253999999999</v>
      </c>
    </row>
    <row r="6" spans="1:18" ht="15.75" customHeight="1">
      <c r="A6" s="57"/>
      <c r="B6" s="58"/>
      <c r="C6" s="58"/>
      <c r="D6" s="58"/>
      <c r="E6" s="58"/>
      <c r="F6" s="58"/>
      <c r="G6" s="58"/>
      <c r="H6" s="58"/>
      <c r="I6" s="58"/>
      <c r="J6" s="60">
        <f>SUM(J3:J5)</f>
        <v>19861.404200000001</v>
      </c>
    </row>
    <row r="8" spans="1:18" ht="26.25" customHeight="1" thickBot="1">
      <c r="A8" s="61" t="s">
        <v>69</v>
      </c>
    </row>
    <row r="9" spans="1:18" ht="95.25" customHeight="1" thickBot="1">
      <c r="A9" s="62" t="s">
        <v>70</v>
      </c>
      <c r="B9" s="63" t="s">
        <v>122</v>
      </c>
      <c r="C9" s="63" t="s">
        <v>72</v>
      </c>
      <c r="D9" s="63" t="s">
        <v>73</v>
      </c>
      <c r="E9" s="63" t="s">
        <v>74</v>
      </c>
      <c r="F9" s="63" t="s">
        <v>75</v>
      </c>
      <c r="I9" s="148" t="s">
        <v>134</v>
      </c>
      <c r="J9" s="148"/>
      <c r="K9" s="143"/>
      <c r="L9" s="143"/>
    </row>
    <row r="10" spans="1:18" ht="16.5" customHeight="1" thickBot="1">
      <c r="A10" s="64" t="s">
        <v>76</v>
      </c>
      <c r="B10" s="65">
        <v>28</v>
      </c>
      <c r="C10" s="66">
        <v>75</v>
      </c>
      <c r="D10" s="67">
        <f>J6*0.75</f>
        <v>14896.05315</v>
      </c>
      <c r="E10" s="67">
        <f t="shared" ref="E10:E12" si="1">D10/1.2</f>
        <v>12413.377625000001</v>
      </c>
      <c r="F10" s="68">
        <f t="shared" ref="F10:F12" si="2">E10*B10</f>
        <v>347574.57350000006</v>
      </c>
    </row>
    <row r="11" spans="1:18" ht="48" customHeight="1">
      <c r="A11" s="64" t="s">
        <v>123</v>
      </c>
      <c r="B11" s="65">
        <v>28</v>
      </c>
      <c r="C11" s="66">
        <v>10</v>
      </c>
      <c r="D11" s="67">
        <f>J6*0.1</f>
        <v>1986.1404200000002</v>
      </c>
      <c r="E11" s="67">
        <f t="shared" si="1"/>
        <v>1655.1170166666668</v>
      </c>
      <c r="F11" s="68">
        <f t="shared" si="2"/>
        <v>46343.27646666667</v>
      </c>
    </row>
    <row r="12" spans="1:18" ht="16.5" customHeight="1">
      <c r="A12" s="64" t="s">
        <v>78</v>
      </c>
      <c r="B12" s="65">
        <v>48</v>
      </c>
      <c r="C12" s="66">
        <v>15</v>
      </c>
      <c r="D12" s="67">
        <f>J6*0.15</f>
        <v>2979.21063</v>
      </c>
      <c r="E12" s="67">
        <f t="shared" si="1"/>
        <v>2482.6755250000001</v>
      </c>
      <c r="F12" s="68">
        <f t="shared" si="2"/>
        <v>119168.4252</v>
      </c>
    </row>
    <row r="13" spans="1:18" ht="16.5" customHeight="1">
      <c r="A13" s="64" t="s">
        <v>1</v>
      </c>
      <c r="B13" s="66"/>
      <c r="C13" s="66">
        <v>100</v>
      </c>
      <c r="D13" s="67">
        <f t="shared" ref="D13:F13" si="3">SUM(D10:D12)</f>
        <v>19861.404200000001</v>
      </c>
      <c r="E13" s="67">
        <f t="shared" si="3"/>
        <v>16551.170166666667</v>
      </c>
      <c r="F13" s="68">
        <f t="shared" si="3"/>
        <v>513086.27516666672</v>
      </c>
    </row>
    <row r="15" spans="1:18" ht="52.5" customHeight="1" thickBot="1">
      <c r="A15" s="69" t="s">
        <v>79</v>
      </c>
      <c r="M15" s="70" t="s">
        <v>80</v>
      </c>
    </row>
    <row r="16" spans="1:18" ht="95.25" customHeight="1" thickBot="1">
      <c r="A16" s="130" t="s">
        <v>81</v>
      </c>
      <c r="B16" s="130" t="s">
        <v>122</v>
      </c>
      <c r="C16" s="131" t="s">
        <v>124</v>
      </c>
      <c r="D16" s="130" t="s">
        <v>72</v>
      </c>
      <c r="E16" s="130" t="s">
        <v>73</v>
      </c>
      <c r="F16" s="130" t="s">
        <v>74</v>
      </c>
      <c r="G16" s="132" t="s">
        <v>125</v>
      </c>
      <c r="H16" s="132" t="s">
        <v>126</v>
      </c>
      <c r="I16" s="132" t="s">
        <v>127</v>
      </c>
      <c r="J16" s="130" t="s">
        <v>128</v>
      </c>
      <c r="M16" s="62" t="s">
        <v>81</v>
      </c>
      <c r="N16" s="63" t="s">
        <v>71</v>
      </c>
      <c r="O16" s="63" t="s">
        <v>72</v>
      </c>
      <c r="P16" s="71" t="s">
        <v>82</v>
      </c>
      <c r="Q16" s="63" t="s">
        <v>74</v>
      </c>
      <c r="R16" s="63" t="s">
        <v>75</v>
      </c>
    </row>
    <row r="17" spans="1:18" ht="32.25" customHeight="1" thickBot="1">
      <c r="A17" s="130" t="s">
        <v>123</v>
      </c>
      <c r="B17" s="133">
        <v>28</v>
      </c>
      <c r="C17" s="134">
        <v>12</v>
      </c>
      <c r="D17" s="130">
        <v>10</v>
      </c>
      <c r="E17" s="135">
        <f>J4*0.1</f>
        <v>1178.1000000000001</v>
      </c>
      <c r="F17" s="135">
        <f t="shared" ref="F17:F19" si="4">E17/1.2</f>
        <v>981.75000000000011</v>
      </c>
      <c r="G17" s="134">
        <f>B17*F17</f>
        <v>27489.000000000004</v>
      </c>
      <c r="H17" s="134">
        <f>C17*F17</f>
        <v>11781.000000000002</v>
      </c>
      <c r="I17" s="134">
        <f>G17-H17</f>
        <v>15708.000000000002</v>
      </c>
      <c r="J17" s="136" t="s">
        <v>129</v>
      </c>
      <c r="M17" s="64" t="s">
        <v>76</v>
      </c>
      <c r="N17" s="65">
        <v>28</v>
      </c>
      <c r="O17" s="72">
        <v>0.75</v>
      </c>
      <c r="P17" s="67">
        <f>SUM($H$4*O17)*2.5</f>
        <v>1125</v>
      </c>
      <c r="Q17" s="67">
        <f t="shared" ref="Q17:Q19" si="5">P17/1.2</f>
        <v>937.5</v>
      </c>
      <c r="R17" s="68">
        <f t="shared" ref="R17:R19" si="6">Q17*N17</f>
        <v>26250</v>
      </c>
    </row>
    <row r="18" spans="1:18" ht="48" customHeight="1" thickBot="1">
      <c r="A18" s="130" t="s">
        <v>76</v>
      </c>
      <c r="B18" s="133">
        <v>28</v>
      </c>
      <c r="C18" s="134">
        <v>12</v>
      </c>
      <c r="D18" s="130">
        <v>75</v>
      </c>
      <c r="E18" s="135">
        <f>J4*0.75</f>
        <v>8835.75</v>
      </c>
      <c r="F18" s="135">
        <f t="shared" si="4"/>
        <v>7363.125</v>
      </c>
      <c r="G18" s="134">
        <f t="shared" ref="G18:G19" si="7">B18*F18</f>
        <v>206167.5</v>
      </c>
      <c r="H18" s="134">
        <f t="shared" ref="H18:H19" si="8">C18*F18</f>
        <v>88357.5</v>
      </c>
      <c r="I18" s="134">
        <f t="shared" ref="I18:I19" si="9">G18-H18</f>
        <v>117810</v>
      </c>
      <c r="J18" s="136" t="s">
        <v>130</v>
      </c>
      <c r="M18" s="64" t="s">
        <v>123</v>
      </c>
      <c r="N18" s="65">
        <v>28</v>
      </c>
      <c r="O18" s="72">
        <v>0.1</v>
      </c>
      <c r="P18" s="67">
        <f t="shared" ref="P18:P19" si="10">SUM($H$4*O18)*2.5</f>
        <v>150</v>
      </c>
      <c r="Q18" s="67">
        <f t="shared" si="5"/>
        <v>125</v>
      </c>
      <c r="R18" s="68">
        <f t="shared" si="6"/>
        <v>3500</v>
      </c>
    </row>
    <row r="19" spans="1:18" ht="16.5" customHeight="1" thickBot="1">
      <c r="A19" s="130" t="s">
        <v>78</v>
      </c>
      <c r="B19" s="133">
        <v>48</v>
      </c>
      <c r="C19" s="134">
        <v>12</v>
      </c>
      <c r="D19" s="130">
        <v>15</v>
      </c>
      <c r="E19" s="135">
        <f>J4*0.15</f>
        <v>1767.1499999999999</v>
      </c>
      <c r="F19" s="135">
        <f t="shared" si="4"/>
        <v>1472.625</v>
      </c>
      <c r="G19" s="134">
        <f t="shared" si="7"/>
        <v>70686</v>
      </c>
      <c r="H19" s="134">
        <f t="shared" si="8"/>
        <v>17671.5</v>
      </c>
      <c r="I19" s="134">
        <f t="shared" si="9"/>
        <v>53014.5</v>
      </c>
      <c r="J19" s="136" t="s">
        <v>131</v>
      </c>
      <c r="M19" s="64" t="s">
        <v>78</v>
      </c>
      <c r="N19" s="65">
        <v>48</v>
      </c>
      <c r="O19" s="72">
        <v>0.15</v>
      </c>
      <c r="P19" s="67">
        <f t="shared" si="10"/>
        <v>225</v>
      </c>
      <c r="Q19" s="67">
        <f t="shared" si="5"/>
        <v>187.5</v>
      </c>
      <c r="R19" s="68">
        <f t="shared" si="6"/>
        <v>9000</v>
      </c>
    </row>
    <row r="20" spans="1:18" ht="16.5" customHeight="1" thickBot="1">
      <c r="A20" s="130" t="s">
        <v>1</v>
      </c>
      <c r="B20" s="130"/>
      <c r="C20" s="137"/>
      <c r="D20" s="130">
        <v>100</v>
      </c>
      <c r="E20" s="135">
        <f>SUM(E17:E19)</f>
        <v>11781</v>
      </c>
      <c r="F20" s="135">
        <f>SUM(F17:F19)</f>
        <v>9817.5</v>
      </c>
      <c r="G20" s="147">
        <f>SUM(G17:G19)</f>
        <v>304342.5</v>
      </c>
      <c r="H20" s="147">
        <f t="shared" ref="H20:I20" si="11">SUM(H17:H19)</f>
        <v>117810</v>
      </c>
      <c r="I20" s="147">
        <f t="shared" si="11"/>
        <v>186532.5</v>
      </c>
      <c r="J20" s="136"/>
      <c r="M20" s="64" t="s">
        <v>1</v>
      </c>
      <c r="N20" s="66"/>
      <c r="O20" s="72">
        <v>1</v>
      </c>
      <c r="P20" s="67">
        <f t="shared" ref="P20:R20" si="12">SUM(P17:P19)</f>
        <v>1500</v>
      </c>
      <c r="Q20" s="67">
        <f t="shared" si="12"/>
        <v>1250</v>
      </c>
      <c r="R20" s="68">
        <f t="shared" si="12"/>
        <v>38750</v>
      </c>
    </row>
    <row r="21" spans="1:18" ht="15.75" customHeight="1"/>
    <row r="22" spans="1:18" ht="16.5" customHeight="1">
      <c r="A22" s="73" t="s">
        <v>66</v>
      </c>
    </row>
    <row r="23" spans="1:18" ht="95.25" customHeight="1">
      <c r="A23" s="62" t="s">
        <v>81</v>
      </c>
      <c r="B23" s="63" t="s">
        <v>71</v>
      </c>
      <c r="C23" s="63" t="s">
        <v>72</v>
      </c>
      <c r="D23" s="63" t="s">
        <v>73</v>
      </c>
      <c r="E23" s="63" t="s">
        <v>74</v>
      </c>
      <c r="F23" s="63" t="s">
        <v>75</v>
      </c>
      <c r="H23" s="73"/>
      <c r="I23" s="73"/>
      <c r="J23" s="73"/>
      <c r="K23" s="69"/>
      <c r="L23" s="73"/>
      <c r="M23" s="73"/>
    </row>
    <row r="24" spans="1:18" ht="16.5" customHeight="1">
      <c r="A24" s="64" t="s">
        <v>76</v>
      </c>
      <c r="B24" s="65">
        <v>28</v>
      </c>
      <c r="C24" s="66">
        <v>75</v>
      </c>
      <c r="D24" s="67">
        <f>J3*0.75</f>
        <v>3263.4591</v>
      </c>
      <c r="E24" s="67">
        <f t="shared" ref="E24:E26" si="13">D24/1.2</f>
        <v>2719.54925</v>
      </c>
      <c r="F24" s="68">
        <f t="shared" ref="F24:F26" si="14">E24*B24</f>
        <v>76147.379000000001</v>
      </c>
      <c r="H24" s="73"/>
      <c r="I24" s="74"/>
      <c r="J24" s="75"/>
      <c r="K24" s="76"/>
      <c r="L24" s="76"/>
      <c r="M24" s="77"/>
    </row>
    <row r="25" spans="1:18" ht="48" customHeight="1">
      <c r="A25" s="64" t="s">
        <v>123</v>
      </c>
      <c r="B25" s="65">
        <v>28</v>
      </c>
      <c r="C25" s="66">
        <v>10</v>
      </c>
      <c r="D25" s="67">
        <f>J3*0.1</f>
        <v>435.12788</v>
      </c>
      <c r="E25" s="67">
        <f t="shared" si="13"/>
        <v>362.60656666666671</v>
      </c>
      <c r="F25" s="68">
        <f t="shared" si="14"/>
        <v>10152.983866666667</v>
      </c>
      <c r="H25" s="73"/>
      <c r="I25" s="74"/>
      <c r="J25" s="75"/>
      <c r="K25" s="76"/>
      <c r="L25" s="76"/>
      <c r="M25" s="77"/>
    </row>
    <row r="26" spans="1:18" ht="16.5" customHeight="1">
      <c r="A26" s="64" t="s">
        <v>78</v>
      </c>
      <c r="B26" s="65">
        <v>48</v>
      </c>
      <c r="C26" s="66">
        <v>15</v>
      </c>
      <c r="D26" s="67">
        <f>J3*0.15</f>
        <v>652.69182000000001</v>
      </c>
      <c r="E26" s="67">
        <f t="shared" si="13"/>
        <v>543.90985000000001</v>
      </c>
      <c r="F26" s="68">
        <f t="shared" si="14"/>
        <v>26107.6728</v>
      </c>
      <c r="H26" s="73"/>
      <c r="I26" s="74"/>
      <c r="J26" s="75"/>
      <c r="K26" s="76"/>
      <c r="L26" s="76"/>
      <c r="M26" s="77"/>
    </row>
    <row r="27" spans="1:18" ht="16.5" customHeight="1">
      <c r="A27" s="64" t="s">
        <v>1</v>
      </c>
      <c r="B27" s="66"/>
      <c r="C27" s="66">
        <v>100</v>
      </c>
      <c r="D27" s="67">
        <f t="shared" ref="D27:F27" si="15">SUM(D24:D26)</f>
        <v>4351.2788</v>
      </c>
      <c r="E27" s="67">
        <f t="shared" si="15"/>
        <v>3626.0656666666669</v>
      </c>
      <c r="F27" s="68">
        <f t="shared" si="15"/>
        <v>112408.03566666666</v>
      </c>
      <c r="H27" s="73"/>
      <c r="I27" s="73"/>
      <c r="J27" s="75"/>
      <c r="K27" s="76"/>
      <c r="L27" s="76"/>
      <c r="M27" s="77"/>
    </row>
    <row r="28" spans="1:18" ht="15.75" customHeight="1"/>
    <row r="29" spans="1:18" ht="16.5" customHeight="1">
      <c r="A29" s="73" t="s">
        <v>68</v>
      </c>
      <c r="H29" s="54" t="s">
        <v>83</v>
      </c>
    </row>
    <row r="30" spans="1:18" ht="95.25" customHeight="1">
      <c r="A30" s="62" t="s">
        <v>84</v>
      </c>
      <c r="B30" s="63" t="s">
        <v>71</v>
      </c>
      <c r="C30" s="63" t="s">
        <v>72</v>
      </c>
      <c r="D30" s="63" t="s">
        <v>73</v>
      </c>
      <c r="E30" s="63" t="s">
        <v>74</v>
      </c>
      <c r="F30" s="63" t="s">
        <v>75</v>
      </c>
      <c r="H30" s="62" t="s">
        <v>81</v>
      </c>
      <c r="I30" s="63" t="s">
        <v>71</v>
      </c>
      <c r="J30" s="63" t="s">
        <v>72</v>
      </c>
      <c r="K30" s="71" t="s">
        <v>82</v>
      </c>
      <c r="L30" s="63" t="s">
        <v>74</v>
      </c>
      <c r="M30" s="63" t="s">
        <v>75</v>
      </c>
    </row>
    <row r="31" spans="1:18" ht="16.5" customHeight="1">
      <c r="A31" s="64" t="s">
        <v>76</v>
      </c>
      <c r="B31" s="65">
        <v>28</v>
      </c>
      <c r="C31" s="66">
        <v>75</v>
      </c>
      <c r="D31" s="67">
        <f>J5*0.75</f>
        <v>2796.8440499999997</v>
      </c>
      <c r="E31" s="67">
        <f t="shared" ref="E31:E33" si="16">D31/1.2</f>
        <v>2330.7033750000001</v>
      </c>
      <c r="F31" s="68">
        <f t="shared" ref="F31:F33" si="17">E31*B31</f>
        <v>65259.694499999998</v>
      </c>
      <c r="H31" s="64" t="s">
        <v>76</v>
      </c>
      <c r="I31" s="65">
        <v>28</v>
      </c>
      <c r="J31" s="72">
        <v>0.75</v>
      </c>
      <c r="K31" s="67">
        <f t="shared" ref="K31:K33" si="18">SUM($H$5*J31)*2.5</f>
        <v>648.61874999999998</v>
      </c>
      <c r="L31" s="67">
        <f t="shared" ref="L31:L33" si="19">K31/1.2</f>
        <v>540.515625</v>
      </c>
      <c r="M31" s="68">
        <f t="shared" ref="M31:M33" si="20">L31*I31</f>
        <v>15134.4375</v>
      </c>
    </row>
    <row r="32" spans="1:18" ht="48" customHeight="1">
      <c r="A32" s="64" t="s">
        <v>123</v>
      </c>
      <c r="B32" s="65">
        <v>28</v>
      </c>
      <c r="C32" s="66">
        <v>10</v>
      </c>
      <c r="D32" s="67">
        <f>J5*0.1</f>
        <v>372.91254000000004</v>
      </c>
      <c r="E32" s="67">
        <f t="shared" si="16"/>
        <v>310.76045000000005</v>
      </c>
      <c r="F32" s="68">
        <f t="shared" si="17"/>
        <v>8701.2926000000007</v>
      </c>
      <c r="H32" s="64" t="s">
        <v>77</v>
      </c>
      <c r="I32" s="65">
        <v>28</v>
      </c>
      <c r="J32" s="72">
        <v>0.1</v>
      </c>
      <c r="K32" s="67">
        <f t="shared" si="18"/>
        <v>86.482500000000016</v>
      </c>
      <c r="L32" s="67">
        <f t="shared" si="19"/>
        <v>72.068750000000023</v>
      </c>
      <c r="M32" s="68">
        <f t="shared" si="20"/>
        <v>2017.9250000000006</v>
      </c>
    </row>
    <row r="33" spans="1:13" ht="16.5" customHeight="1">
      <c r="A33" s="64" t="s">
        <v>78</v>
      </c>
      <c r="B33" s="65">
        <v>48</v>
      </c>
      <c r="C33" s="66">
        <v>15</v>
      </c>
      <c r="D33" s="67">
        <f>J5*0.15</f>
        <v>559.36880999999994</v>
      </c>
      <c r="E33" s="67">
        <f t="shared" si="16"/>
        <v>466.14067499999999</v>
      </c>
      <c r="F33" s="68">
        <f t="shared" si="17"/>
        <v>22374.752399999998</v>
      </c>
      <c r="H33" s="64" t="s">
        <v>78</v>
      </c>
      <c r="I33" s="65">
        <v>48</v>
      </c>
      <c r="J33" s="72">
        <v>0.15</v>
      </c>
      <c r="K33" s="67">
        <f t="shared" si="18"/>
        <v>129.72375</v>
      </c>
      <c r="L33" s="67">
        <f t="shared" si="19"/>
        <v>108.10312500000001</v>
      </c>
      <c r="M33" s="68">
        <f t="shared" si="20"/>
        <v>5188.9500000000007</v>
      </c>
    </row>
    <row r="34" spans="1:13" ht="16.5" customHeight="1">
      <c r="A34" s="64" t="s">
        <v>1</v>
      </c>
      <c r="B34" s="66"/>
      <c r="C34" s="66">
        <v>100</v>
      </c>
      <c r="D34" s="67">
        <f t="shared" ref="D34:F34" si="21">SUM(D31:D33)</f>
        <v>3729.1253999999999</v>
      </c>
      <c r="E34" s="67">
        <f t="shared" si="21"/>
        <v>3107.6045000000004</v>
      </c>
      <c r="F34" s="68">
        <f t="shared" si="21"/>
        <v>96335.739499999996</v>
      </c>
      <c r="H34" s="64" t="s">
        <v>1</v>
      </c>
      <c r="I34" s="66"/>
      <c r="J34" s="72">
        <v>1</v>
      </c>
      <c r="K34" s="67">
        <f t="shared" ref="K34:M34" si="22">SUM(K31:K33)</f>
        <v>864.82499999999993</v>
      </c>
      <c r="L34" s="67">
        <f t="shared" si="22"/>
        <v>720.6875</v>
      </c>
      <c r="M34" s="68">
        <f t="shared" si="22"/>
        <v>22341.3125</v>
      </c>
    </row>
    <row r="35" spans="1:13" ht="15.75" customHeight="1"/>
    <row r="36" spans="1:13" ht="15.75" customHeight="1"/>
    <row r="37" spans="1:13" ht="15.75" customHeight="1"/>
    <row r="38" spans="1:13" ht="15.75" customHeight="1"/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FEOux+4M17Ug+mF/5d0x/bquYyqUSkP3B5gb58LRBDHaYcdnFWpJ0kE44n3t6H9HHltMMSxfxHtSOHJXMG8eUg==" saltValue="hlGySRfXDml9A3dSE0dfxw==" spinCount="100000" sheet="1" objects="1" scenarios="1" formatCells="0" formatColumns="0" formatRows="0" insertColumns="0" insertRows="0" insertHyperlinks="0" deleteColumns="0" deleteRows="0"/>
  <mergeCells count="1">
    <mergeCell ref="I9:J9"/>
  </mergeCell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2:L37"/>
  <sheetViews>
    <sheetView workbookViewId="0">
      <selection activeCell="B6" sqref="B6"/>
    </sheetView>
  </sheetViews>
  <sheetFormatPr defaultColWidth="14.44140625" defaultRowHeight="15" customHeight="1"/>
  <cols>
    <col min="4" max="4" width="18.5546875" customWidth="1"/>
  </cols>
  <sheetData>
    <row r="2" spans="1:12" ht="15" customHeight="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5" customHeight="1">
      <c r="A3" s="149" t="s">
        <v>118</v>
      </c>
      <c r="B3" s="149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15" customHeight="1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12" ht="15" customHeight="1">
      <c r="A5" s="80" t="s">
        <v>96</v>
      </c>
      <c r="B5" s="81">
        <f>'Mensurational data'!B4</f>
        <v>23.1</v>
      </c>
      <c r="C5" s="80" t="s">
        <v>96</v>
      </c>
      <c r="D5" t="s">
        <v>132</v>
      </c>
      <c r="E5" s="80" t="s">
        <v>98</v>
      </c>
      <c r="F5" s="80" t="s">
        <v>99</v>
      </c>
      <c r="G5" s="80" t="s">
        <v>1</v>
      </c>
      <c r="H5" s="78"/>
      <c r="I5" s="149" t="s">
        <v>95</v>
      </c>
      <c r="J5" s="149"/>
    </row>
    <row r="6" spans="1:12" ht="15" customHeight="1">
      <c r="A6" s="80"/>
      <c r="B6" s="82"/>
      <c r="C6" s="81"/>
      <c r="E6" s="81"/>
      <c r="F6" s="83"/>
      <c r="G6" s="83"/>
      <c r="H6" s="78"/>
      <c r="I6" s="80" t="s">
        <v>100</v>
      </c>
      <c r="J6" s="81">
        <v>1600</v>
      </c>
    </row>
    <row r="7" spans="1:12" ht="15" customHeight="1">
      <c r="A7" s="80" t="s">
        <v>102</v>
      </c>
      <c r="B7" s="82">
        <v>0.4</v>
      </c>
      <c r="C7" s="140">
        <f>B5*B7</f>
        <v>9.24</v>
      </c>
      <c r="D7">
        <v>1600</v>
      </c>
      <c r="E7" s="139">
        <f>C7*D7</f>
        <v>14784</v>
      </c>
      <c r="F7" s="83">
        <v>1.05</v>
      </c>
      <c r="G7" s="83">
        <f t="shared" ref="G7" si="0">E7*F7</f>
        <v>15523.2</v>
      </c>
      <c r="H7" s="78"/>
      <c r="I7" s="80" t="s">
        <v>101</v>
      </c>
      <c r="J7" s="81">
        <v>2250</v>
      </c>
      <c r="K7" s="78"/>
      <c r="L7" s="78"/>
    </row>
    <row r="8" spans="1:12" ht="15" customHeight="1">
      <c r="A8" s="80" t="s">
        <v>103</v>
      </c>
      <c r="B8" s="82">
        <v>0.4</v>
      </c>
      <c r="C8" s="81">
        <f>B5*B8</f>
        <v>9.24</v>
      </c>
      <c r="E8" s="78"/>
      <c r="F8" s="78"/>
      <c r="G8" s="78"/>
      <c r="H8" s="78"/>
      <c r="I8" s="78"/>
      <c r="J8" s="78"/>
      <c r="K8" s="78"/>
      <c r="L8" s="78"/>
    </row>
    <row r="9" spans="1:12" ht="15" customHeight="1">
      <c r="A9" s="80" t="s">
        <v>104</v>
      </c>
      <c r="B9" s="82">
        <v>0.1</v>
      </c>
      <c r="C9" s="81">
        <f>B5*B9</f>
        <v>2.31</v>
      </c>
      <c r="E9" s="78"/>
      <c r="F9" s="78"/>
      <c r="G9" s="78"/>
      <c r="H9" s="78"/>
      <c r="I9" s="144" t="s">
        <v>99</v>
      </c>
      <c r="J9" s="78"/>
      <c r="K9" s="78"/>
      <c r="L9" s="78"/>
    </row>
    <row r="10" spans="1:12" ht="15" customHeight="1">
      <c r="A10" s="78"/>
      <c r="B10" s="78"/>
      <c r="C10" s="78"/>
      <c r="E10" s="78"/>
      <c r="F10" s="78"/>
      <c r="G10" s="83">
        <f>SUM(G6:G7)</f>
        <v>15523.2</v>
      </c>
      <c r="H10" s="78"/>
      <c r="I10" s="144" t="s">
        <v>139</v>
      </c>
      <c r="J10" s="129">
        <v>1.05</v>
      </c>
      <c r="K10" s="78"/>
      <c r="L10" s="78"/>
    </row>
    <row r="11" spans="1:12" ht="15" customHeight="1">
      <c r="A11" s="78"/>
      <c r="B11" s="78"/>
      <c r="C11" s="78"/>
      <c r="D11" s="78"/>
      <c r="E11" s="78"/>
      <c r="F11" s="78"/>
      <c r="G11" s="78"/>
      <c r="H11" s="78"/>
      <c r="I11" s="144" t="s">
        <v>140</v>
      </c>
      <c r="J11" s="129">
        <v>0.9</v>
      </c>
      <c r="K11" s="78"/>
      <c r="L11" s="78"/>
    </row>
    <row r="12" spans="1:12" ht="15" customHeight="1">
      <c r="A12" s="149"/>
      <c r="B12" s="149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2" ht="15" customHeight="1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1:12" ht="15" customHeight="1">
      <c r="A14" s="80"/>
      <c r="B14" s="81"/>
      <c r="C14" s="80"/>
      <c r="D14" s="80"/>
      <c r="E14" s="80"/>
      <c r="F14" s="80"/>
      <c r="G14" s="78"/>
      <c r="H14" s="78"/>
      <c r="I14" s="78"/>
      <c r="J14" s="78"/>
      <c r="K14" s="78"/>
      <c r="L14" s="78"/>
    </row>
    <row r="15" spans="1:12" ht="15" customHeight="1">
      <c r="A15" s="80"/>
      <c r="B15" s="82"/>
      <c r="C15" s="81"/>
      <c r="D15" s="81"/>
      <c r="E15" s="83"/>
      <c r="F15" s="83"/>
      <c r="G15" s="78"/>
      <c r="H15" s="78"/>
      <c r="I15" s="78"/>
      <c r="J15" s="78"/>
      <c r="K15" s="78"/>
      <c r="L15" s="78"/>
    </row>
    <row r="16" spans="1:12" ht="15" customHeight="1">
      <c r="A16" s="80"/>
      <c r="B16" s="82"/>
      <c r="C16" s="81"/>
      <c r="D16" s="81"/>
      <c r="E16" s="83"/>
      <c r="F16" s="83"/>
      <c r="G16" s="78"/>
      <c r="H16" s="78"/>
      <c r="I16" s="78"/>
      <c r="J16" s="78"/>
      <c r="K16" s="78"/>
      <c r="L16" s="78"/>
    </row>
    <row r="17" spans="1:12" ht="15" customHeight="1">
      <c r="A17" s="80"/>
      <c r="B17" s="82"/>
      <c r="C17" s="81"/>
      <c r="D17" s="78"/>
      <c r="E17" s="78"/>
      <c r="F17" s="78"/>
      <c r="G17" s="78"/>
      <c r="H17" s="78"/>
      <c r="I17" s="78"/>
      <c r="J17" s="78"/>
      <c r="K17" s="78"/>
      <c r="L17" s="78"/>
    </row>
    <row r="18" spans="1:12" ht="15" customHeight="1">
      <c r="A18" s="80"/>
      <c r="B18" s="82"/>
      <c r="C18" s="81"/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15" customHeight="1">
      <c r="A19" s="78"/>
      <c r="B19" s="78"/>
      <c r="C19" s="78"/>
      <c r="D19" s="78"/>
      <c r="E19" s="78"/>
      <c r="F19" s="83"/>
      <c r="G19" s="78"/>
      <c r="H19" s="78"/>
      <c r="I19" s="78"/>
      <c r="J19" s="78"/>
      <c r="K19" s="78"/>
      <c r="L19" s="78"/>
    </row>
    <row r="20" spans="1:12" ht="15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5" customHeight="1">
      <c r="A21" s="149"/>
      <c r="B21" s="149"/>
      <c r="C21" s="149"/>
      <c r="D21" s="149"/>
      <c r="E21" s="78"/>
      <c r="F21" s="78"/>
      <c r="G21" s="78"/>
      <c r="H21" s="78"/>
      <c r="I21" s="78"/>
      <c r="J21" s="78"/>
      <c r="K21" s="78"/>
      <c r="L21" s="78"/>
    </row>
    <row r="22" spans="1:12" ht="15" customHeight="1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1:12" ht="15" customHeight="1">
      <c r="A23" s="80"/>
      <c r="B23" s="81"/>
      <c r="C23" s="80"/>
      <c r="D23" s="80"/>
      <c r="E23" s="80"/>
      <c r="F23" s="80"/>
      <c r="G23" s="78"/>
      <c r="H23" s="78"/>
      <c r="I23" s="78"/>
      <c r="J23" s="78"/>
      <c r="K23" s="78"/>
      <c r="L23" s="78"/>
    </row>
    <row r="24" spans="1:12" ht="15" customHeight="1">
      <c r="A24" s="80"/>
      <c r="B24" s="81"/>
      <c r="C24" s="81"/>
      <c r="D24" s="78"/>
      <c r="E24" s="83"/>
      <c r="F24" s="83"/>
      <c r="G24" s="78"/>
      <c r="H24" s="78"/>
      <c r="I24" s="78"/>
      <c r="J24" s="78"/>
      <c r="K24" s="78"/>
      <c r="L24" s="78"/>
    </row>
    <row r="25" spans="1:12" ht="15" customHeight="1">
      <c r="A25" s="80"/>
      <c r="B25" s="81"/>
      <c r="C25" s="81"/>
      <c r="D25" s="78"/>
      <c r="E25" s="83"/>
      <c r="F25" s="83"/>
      <c r="G25" s="78"/>
      <c r="H25" s="78"/>
      <c r="I25" s="78"/>
      <c r="J25" s="78"/>
      <c r="K25" s="78"/>
      <c r="L25" s="78"/>
    </row>
    <row r="26" spans="1:12" ht="15" customHeight="1">
      <c r="A26" s="80"/>
      <c r="B26" s="81"/>
      <c r="C26" s="81"/>
      <c r="D26" s="78"/>
      <c r="E26" s="78"/>
      <c r="F26" s="78"/>
      <c r="G26" s="78"/>
      <c r="H26" s="78"/>
      <c r="I26" s="78"/>
      <c r="J26" s="78"/>
      <c r="K26" s="78"/>
      <c r="L26" s="78"/>
    </row>
    <row r="27" spans="1:12" ht="15" customHeight="1">
      <c r="A27" s="80"/>
      <c r="B27" s="81"/>
      <c r="C27" s="81"/>
      <c r="D27" s="78"/>
      <c r="E27" s="78"/>
      <c r="F27" s="78"/>
      <c r="G27" s="78"/>
      <c r="H27" s="78"/>
      <c r="I27" s="78"/>
      <c r="J27" s="78"/>
      <c r="K27" s="78"/>
      <c r="L27" s="78"/>
    </row>
    <row r="28" spans="1:12" ht="15" customHeight="1">
      <c r="A28" s="78"/>
      <c r="B28" s="78"/>
      <c r="C28" s="78"/>
      <c r="D28" s="78"/>
      <c r="E28" s="78"/>
      <c r="F28" s="83"/>
      <c r="G28" s="78"/>
      <c r="H28" s="78"/>
      <c r="I28" s="78"/>
      <c r="J28" s="78"/>
      <c r="K28" s="78"/>
      <c r="L28" s="78"/>
    </row>
    <row r="30" spans="1:12" ht="15" customHeight="1">
      <c r="A30" s="149"/>
      <c r="B30" s="149"/>
      <c r="C30" s="78"/>
      <c r="D30" s="78"/>
      <c r="E30" s="78"/>
      <c r="F30" s="78"/>
    </row>
    <row r="31" spans="1:12" ht="15" customHeight="1">
      <c r="A31" s="78"/>
      <c r="B31" s="78"/>
      <c r="C31" s="78"/>
      <c r="D31" s="78"/>
      <c r="E31" s="78"/>
      <c r="F31" s="78"/>
    </row>
    <row r="32" spans="1:12" ht="15" customHeight="1">
      <c r="A32" s="80"/>
      <c r="B32" s="81"/>
      <c r="C32" s="80"/>
      <c r="D32" s="80"/>
      <c r="E32" s="80"/>
      <c r="F32" s="80"/>
    </row>
    <row r="33" spans="1:6" ht="15" customHeight="1">
      <c r="A33" s="80"/>
      <c r="B33" s="81"/>
      <c r="C33" s="81"/>
      <c r="D33" s="81"/>
      <c r="E33" s="83"/>
      <c r="F33" s="83"/>
    </row>
    <row r="34" spans="1:6" ht="15" customHeight="1">
      <c r="A34" s="80"/>
      <c r="B34" s="81"/>
      <c r="C34" s="81"/>
      <c r="D34" s="81"/>
      <c r="E34" s="83"/>
      <c r="F34" s="83"/>
    </row>
    <row r="35" spans="1:6" ht="15" customHeight="1">
      <c r="A35" s="80"/>
      <c r="B35" s="81"/>
      <c r="C35" s="81"/>
      <c r="D35" s="78"/>
      <c r="E35" s="78"/>
      <c r="F35" s="78"/>
    </row>
    <row r="36" spans="1:6" ht="15" customHeight="1">
      <c r="A36" s="80"/>
      <c r="B36" s="81"/>
      <c r="C36" s="81"/>
      <c r="D36" s="78"/>
      <c r="E36" s="78"/>
      <c r="F36" s="78"/>
    </row>
    <row r="37" spans="1:6" ht="14.4">
      <c r="A37" s="78"/>
      <c r="B37" s="78"/>
      <c r="C37" s="78"/>
      <c r="D37" s="78"/>
      <c r="E37" s="78"/>
      <c r="F37" s="83"/>
    </row>
  </sheetData>
  <mergeCells count="5">
    <mergeCell ref="A3:B3"/>
    <mergeCell ref="I5:J5"/>
    <mergeCell ref="A12:B12"/>
    <mergeCell ref="A21:D21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Year 1</vt:lpstr>
      <vt:lpstr>Year 2</vt:lpstr>
      <vt:lpstr>Year 3</vt:lpstr>
      <vt:lpstr>Year 4</vt:lpstr>
      <vt:lpstr>Year 5</vt:lpstr>
      <vt:lpstr>Graphs</vt:lpstr>
      <vt:lpstr>P&amp;L</vt:lpstr>
      <vt:lpstr>Mensurational data</vt:lpstr>
      <vt:lpstr>Restocking</vt:lpstr>
      <vt:lpstr>Assumptions</vt:lpstr>
      <vt:lpstr>Sheet1</vt:lpstr>
      <vt:lpstr>'Year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u321637</cp:lastModifiedBy>
  <cp:lastPrinted>2020-11-20T11:38:58Z</cp:lastPrinted>
  <dcterms:created xsi:type="dcterms:W3CDTF">2020-05-27T16:23:11Z</dcterms:created>
  <dcterms:modified xsi:type="dcterms:W3CDTF">2023-01-13T15:09:37Z</dcterms:modified>
</cp:coreProperties>
</file>